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Movimenti" sheetId="1" r:id="rId5"/>
    <sheet state="visible" name="ANNO" sheetId="2" r:id="rId6"/>
    <sheet state="visible" name="Gen" sheetId="3" r:id="rId7"/>
    <sheet state="visible" name="Feb" sheetId="4" r:id="rId8"/>
    <sheet state="visible" name="Mar" sheetId="5" r:id="rId9"/>
    <sheet state="visible" name="Apr" sheetId="6" r:id="rId10"/>
    <sheet state="visible" name="Mag" sheetId="7" r:id="rId11"/>
    <sheet state="visible" name="Giu" sheetId="8" r:id="rId12"/>
    <sheet state="visible" name="Lug" sheetId="9" r:id="rId13"/>
    <sheet state="visible" name="Ago" sheetId="10" r:id="rId14"/>
    <sheet state="visible" name="Set" sheetId="11" r:id="rId15"/>
    <sheet state="visible" name="Ott" sheetId="12" r:id="rId16"/>
    <sheet state="visible" name="Nov" sheetId="13" r:id="rId17"/>
    <sheet state="visible" name="Dic" sheetId="14" r:id="rId18"/>
    <sheet state="visible" name="Sinking Funds" sheetId="15" r:id="rId19"/>
    <sheet state="visible" name="Investimenti" sheetId="16" r:id="rId20"/>
    <sheet state="visible" name="Debiti" sheetId="17" r:id="rId21"/>
    <sheet state="visible" name="Net Worth" sheetId="18" r:id="rId22"/>
    <sheet state="visible" name="Modifiche" sheetId="19" r:id="rId23"/>
  </sheets>
  <definedNames>
    <definedName hidden="1" localSheetId="0" name="_xlnm._FilterDatabase">'Lista Movimenti'!$A$1:$E$380</definedName>
  </definedNames>
  <calcPr/>
</workbook>
</file>

<file path=xl/sharedStrings.xml><?xml version="1.0" encoding="utf-8"?>
<sst xmlns="http://schemas.openxmlformats.org/spreadsheetml/2006/main" count="1148" uniqueCount="110">
  <si>
    <t>Nome</t>
  </si>
  <si>
    <t>Categoria</t>
  </si>
  <si>
    <t>Importo</t>
  </si>
  <si>
    <t>Data</t>
  </si>
  <si>
    <t>Tipo</t>
  </si>
  <si>
    <t>✈️ Viaggi/Vacanze</t>
  </si>
  <si>
    <t>Risparmio</t>
  </si>
  <si>
    <t>🌟 Altro extra</t>
  </si>
  <si>
    <t>🍔 Cibo fuori</t>
  </si>
  <si>
    <t>Spesa</t>
  </si>
  <si>
    <t>🍲 Cibo/Spesa</t>
  </si>
  <si>
    <t>🎁 Regali</t>
  </si>
  <si>
    <t>🎫 Abbonamenti</t>
  </si>
  <si>
    <t>🎬 Intrattenimento</t>
  </si>
  <si>
    <t>🏋️ Palestra e affini</t>
  </si>
  <si>
    <t>🏠 Casa</t>
  </si>
  <si>
    <t>👕 Vestiti</t>
  </si>
  <si>
    <t>💅 Cura personale</t>
  </si>
  <si>
    <t>📚 Cultura</t>
  </si>
  <si>
    <t>📱 Telefono</t>
  </si>
  <si>
    <t>🤑 Stipendio</t>
  </si>
  <si>
    <t>🪙 Altre entrate</t>
  </si>
  <si>
    <t>🚌 Trasporti</t>
  </si>
  <si>
    <t>🚑 Sanità</t>
  </si>
  <si>
    <t>Dentista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</si>
  <si>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</si>
  <si>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</si>
  <si>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</si>
  <si>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</si>
  <si>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</si>
  <si>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</si>
  <si>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</si>
  <si>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</si>
  <si>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</si>
  <si>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</si>
  <si>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</si>
  <si>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</si>
  <si>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Media</t>
  </si>
  <si>
    <t>Obiettivo</t>
  </si>
  <si>
    <t>Totale Annuo</t>
  </si>
  <si>
    <t>Totale Entrate</t>
  </si>
  <si>
    <t>Necessita</t>
  </si>
  <si>
    <t>Totale Necessità</t>
  </si>
  <si>
    <t xml:space="preserve">-- Necessità -- </t>
  </si>
  <si>
    <t>EXTRA</t>
  </si>
  <si>
    <t>-- Extra --</t>
  </si>
  <si>
    <t>Totale Extra</t>
  </si>
  <si>
    <t>Totale Uscite</t>
  </si>
  <si>
    <t>Differenza Entrate Uscite</t>
  </si>
  <si>
    <t>Totale Risparmi</t>
  </si>
  <si>
    <t>GENNAIO</t>
  </si>
  <si>
    <t>Totale</t>
  </si>
  <si>
    <t>Attività</t>
  </si>
  <si>
    <t>Stato</t>
  </si>
  <si>
    <t xml:space="preserve">Obiettivo </t>
  </si>
  <si>
    <t>Risparmio Mensile</t>
  </si>
  <si>
    <t>Risparmiato Precedentemente</t>
  </si>
  <si>
    <t>Spese</t>
  </si>
  <si>
    <t>Saldo Attuale</t>
  </si>
  <si>
    <t>Saldo Mancante</t>
  </si>
  <si>
    <t>Data di inizio</t>
  </si>
  <si>
    <t>Note</t>
  </si>
  <si>
    <t>Data di Scadenza</t>
  </si>
  <si>
    <t>In corso</t>
  </si>
  <si>
    <t>Completata</t>
  </si>
  <si>
    <t>Obiettivo Totale</t>
  </si>
  <si>
    <t>Totale Saldo Attuale</t>
  </si>
  <si>
    <t>Totale Saldo Mancante</t>
  </si>
  <si>
    <t>% Completamento Obiettivi</t>
  </si>
  <si>
    <t>% Mancante Obiettivi</t>
  </si>
  <si>
    <t>Risparmio Mensile Totale</t>
  </si>
  <si>
    <t>Asset/Strumento</t>
  </si>
  <si>
    <t>Quantità Posseduta</t>
  </si>
  <si>
    <t>PMC</t>
  </si>
  <si>
    <t>Ticker</t>
  </si>
  <si>
    <t>Prezzo Attuale</t>
  </si>
  <si>
    <t>Valore Iniziale</t>
  </si>
  <si>
    <t>Valore Attuale</t>
  </si>
  <si>
    <t>Profitto/Perdita</t>
  </si>
  <si>
    <t>Fondo Pensione</t>
  </si>
  <si>
    <t>Fondo</t>
  </si>
  <si>
    <t>Azioni Tesla</t>
  </si>
  <si>
    <t>Azioni</t>
  </si>
  <si>
    <t>NASDAQ:TSLA</t>
  </si>
  <si>
    <t>Assicurazioni Unipol</t>
  </si>
  <si>
    <t>Assicurazioni</t>
  </si>
  <si>
    <t>TOTALI</t>
  </si>
  <si>
    <t>0</t>
  </si>
  <si>
    <t xml:space="preserve">
</t>
  </si>
  <si>
    <t>Categorie</t>
  </si>
  <si>
    <t>Valore Debito</t>
  </si>
  <si>
    <t>Rata Mensile</t>
  </si>
  <si>
    <t>Totale Pagato</t>
  </si>
  <si>
    <t>Totale Mancante</t>
  </si>
  <si>
    <t>Data Inizio</t>
  </si>
  <si>
    <t>Data Scadenza</t>
  </si>
  <si>
    <t>Mutuo Casa</t>
  </si>
  <si>
    <t>Mutuo</t>
  </si>
  <si>
    <t>Data Attuale</t>
  </si>
  <si>
    <t>Liquidità</t>
  </si>
  <si>
    <t>Sinking Funds</t>
  </si>
  <si>
    <t>Investimenti</t>
  </si>
  <si>
    <t>Debiti</t>
  </si>
  <si>
    <t>Totale Net Worth</t>
  </si>
  <si>
    <t>OGGI</t>
  </si>
  <si>
    <t>INIZIO ANNO</t>
  </si>
  <si>
    <t>Per modificare/aggiungere categorie è necessario modificare l'elenco a sinistra</t>
  </si>
  <si>
    <t>MODIFICHE</t>
  </si>
  <si>
    <t>Se ti serve scrivere delle modifiche da fare o cose che vorresti aggiungere scrivile pure in questo foglio</t>
  </si>
  <si>
    <t>-- Entrate 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</si>
</sst>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"/>
    <numFmt numFmtId="165" formatCode="dd/MM/yyyy"/>
  </numFmts>
  <fonts count="20">
    <font>
      <sz val="10.0"/>
      <color rgb="FF000000"/>
      <name val="Arial"/>
      <scheme val="minor"/>
    </font>
    <font>
      <sz val="11.0"/>
      <color theme="1"/>
      <name val="Lato"/>
    </font>
    <font>
      <color theme="1"/>
      <name val="Lato"/>
    </font>
    <font>
      <color rgb="FFFFFFFF"/>
      <name val="Lato"/>
    </font>
    <font>
      <color theme="1"/>
      <name val="Arial"/>
      <scheme val="minor"/>
    </font>
    <font>
      <sz val="17.0"/>
      <color rgb="FFFFFFFF"/>
      <name val="Lato"/>
    </font>
    <font>
      <sz val="17.0"/>
      <color theme="1"/>
      <name val="Lato"/>
    </font>
    <font>
      <sz val="12.0"/>
      <color theme="1"/>
      <name val="Lato"/>
    </font>
    <font>
      <b/>
      <sz val="12.0"/>
      <color theme="1"/>
      <name val="Lato"/>
    </font>
    <font>
      <sz val="12.0"/>
      <color rgb="FFFFFFFF"/>
      <name val="Lato"/>
    </font>
    <font>
      <sz val="12.0"/>
      <color rgb="FF000000"/>
      <name val="Lato"/>
    </font>
    <font>
      <b/>
      <sz val="12.0"/>
      <color rgb="FF000000"/>
      <name val="Oswald"/>
    </font>
    <font>
      <sz val="12.0"/>
      <color theme="1"/>
      <name val="Arial"/>
      <scheme val="minor"/>
    </font>
    <font>
      <b/>
      <sz val="12.0"/>
      <color theme="1"/>
      <name val="Oswald"/>
    </font>
    <font>
      <sz val="12.0"/>
      <color theme="0"/>
      <name val="Lato"/>
    </font>
    <font>
      <sz val="14.0"/>
      <color theme="1"/>
      <name val="Arial"/>
      <scheme val="minor"/>
    </font>
    <font>
      <sz val="11.0"/>
      <color theme="1"/>
      <name val="Arial"/>
      <scheme val="minor"/>
    </font>
    <font>
      <b/>
      <sz val="14.0"/>
      <color rgb="FF00FF00"/>
      <name val="Arial"/>
      <scheme val="minor"/>
    </font>
    <font>
      <b/>
      <sz val="14.0"/>
      <color theme="1"/>
      <name val="Arial"/>
      <scheme val="minor"/>
    </font>
    <font>
      <b/>
      <color theme="1"/>
      <name val="Lat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horizontal="left" readingOrder="0" shrinkToFit="0" vertical="center" wrapText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5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5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2" fontId="5" numFmtId="0" xfId="0" applyAlignment="1" applyFont="1">
      <alignment horizontal="center" readingOrder="0" vertical="center"/>
    </xf>
    <xf borderId="0" fillId="2" fontId="6" numFmtId="4" xfId="0" applyFont="1" applyNumberFormat="1"/>
    <xf borderId="0" fillId="2" fontId="6" numFmtId="0" xfId="0" applyFont="1"/>
    <xf borderId="0" fillId="0" fontId="7" numFmtId="0" xfId="0" applyFont="1"/>
    <xf borderId="0" fillId="0" fontId="7" numFmtId="4" xfId="0" applyFont="1" applyNumberFormat="1"/>
    <xf borderId="0" fillId="0" fontId="2" numFmtId="0" xfId="0" applyFont="1"/>
    <xf borderId="0" fillId="0" fontId="1" numFmtId="0" xfId="0" applyFont="1"/>
    <xf borderId="0" fillId="0" fontId="8" numFmtId="0" xfId="0" applyAlignment="1" applyFont="1">
      <alignment horizontal="left" readingOrder="0" shrinkToFit="0" vertical="center" wrapText="0"/>
    </xf>
    <xf borderId="0" fillId="0" fontId="7" numFmtId="4" xfId="0" applyAlignment="1" applyFont="1" applyNumberForma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2" fontId="9" numFmtId="0" xfId="0" applyAlignment="1" applyFont="1">
      <alignment readingOrder="0" shrinkToFit="0" vertical="center" wrapText="0"/>
    </xf>
    <xf borderId="0" fillId="2" fontId="10" numFmtId="0" xfId="0" applyAlignment="1" applyFont="1">
      <alignment shrinkToFit="0" vertical="center" wrapText="0"/>
    </xf>
    <xf borderId="0" fillId="2" fontId="10" numFmtId="0" xfId="0" applyAlignment="1" applyFont="1">
      <alignment readingOrder="0" shrinkToFit="0" vertical="center" wrapText="0"/>
    </xf>
    <xf borderId="0" fillId="2" fontId="11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11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10" numFmtId="0" xfId="0" applyAlignment="1" applyFont="1">
      <alignment shrinkToFit="0" vertical="center" wrapText="0"/>
    </xf>
    <xf borderId="0" fillId="2" fontId="2" numFmtId="4" xfId="0" applyFont="1" applyNumberFormat="1"/>
    <xf borderId="0" fillId="2" fontId="2" numFmtId="0" xfId="0" applyFont="1"/>
    <xf borderId="0" fillId="0" fontId="12" numFmtId="0" xfId="0" applyFont="1"/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3" fontId="7" numFmtId="0" xfId="0" applyAlignment="1" applyFill="1" applyFont="1">
      <alignment readingOrder="0"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13" numFmtId="0" xfId="0" applyAlignment="1" applyFont="1">
      <alignment readingOrder="0" shrinkToFit="0" vertical="center" wrapText="0"/>
    </xf>
    <xf borderId="0" fillId="4" fontId="7" numFmtId="0" xfId="0" applyAlignment="1" applyFill="1" applyFont="1">
      <alignment readingOrder="0" shrinkToFit="0" vertical="center" wrapText="0"/>
    </xf>
    <xf borderId="0" fillId="4" fontId="7" numFmtId="0" xfId="0" applyAlignment="1" applyFont="1">
      <alignment readingOrder="0" shrinkToFit="0" vertical="center" wrapText="0"/>
    </xf>
    <xf borderId="0" fillId="4" fontId="7" numFmtId="0" xfId="0" applyAlignment="1" applyFont="1">
      <alignment readingOrder="0" shrinkToFit="0" vertical="center" wrapText="0"/>
    </xf>
    <xf borderId="0" fillId="4" fontId="7" numFmtId="0" xfId="0" applyAlignment="1" applyFont="1">
      <alignment shrinkToFit="0" vertical="center" wrapText="0"/>
    </xf>
    <xf borderId="0" fillId="4" fontId="13" numFmtId="0" xfId="0" applyAlignment="1" applyFont="1">
      <alignment readingOrder="0" shrinkToFit="0" vertical="center" wrapText="0"/>
    </xf>
    <xf borderId="0" fillId="5" fontId="7" numFmtId="0" xfId="0" applyAlignment="1" applyFill="1" applyFont="1">
      <alignment readingOrder="0" shrinkToFit="0" vertical="center" wrapText="0"/>
    </xf>
    <xf borderId="0" fillId="5" fontId="7" numFmtId="0" xfId="0" applyAlignment="1" applyFont="1">
      <alignment shrinkToFit="0" vertical="center" wrapText="0"/>
    </xf>
    <xf borderId="0" fillId="5" fontId="7" numFmtId="0" xfId="0" applyAlignment="1" applyFont="1">
      <alignment shrinkToFit="0" vertical="center" wrapText="0"/>
    </xf>
    <xf borderId="0" fillId="5" fontId="13" numFmtId="0" xfId="0" applyAlignment="1" applyFont="1">
      <alignment shrinkToFit="0" vertical="center" wrapText="0"/>
    </xf>
    <xf borderId="0" fillId="0" fontId="13" numFmtId="0" xfId="0" applyAlignment="1" applyFont="1">
      <alignment shrinkToFit="0" vertical="center" wrapText="0"/>
    </xf>
    <xf borderId="0" fillId="0" fontId="2" numFmtId="4" xfId="0" applyFont="1" applyNumberFormat="1"/>
    <xf borderId="0" fillId="0" fontId="2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2" fontId="14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5" numFmtId="0" xfId="0" applyAlignment="1" applyFont="1">
      <alignment horizontal="center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6" numFmtId="0" xfId="0" applyAlignment="1" applyFont="1">
      <alignment readingOrder="0"/>
    </xf>
    <xf borderId="0" fillId="0" fontId="16" numFmtId="0" xfId="0" applyAlignment="1" applyFont="1">
      <alignment horizontal="left" readingOrder="0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10" xfId="0" applyAlignment="1" applyFont="1" applyNumberFormat="1">
      <alignment horizontal="center" readingOrder="0" shrinkToFit="0" vertical="center" wrapText="0"/>
    </xf>
    <xf borderId="0" fillId="0" fontId="16" numFmtId="0" xfId="0" applyAlignment="1" applyFont="1">
      <alignment horizontal="center" readingOrder="0" shrinkToFit="0" vertical="center" wrapText="1"/>
    </xf>
    <xf borderId="0" fillId="2" fontId="4" numFmtId="0" xfId="0" applyFont="1"/>
    <xf borderId="0" fillId="0" fontId="16" numFmtId="49" xfId="0" applyAlignment="1" applyFont="1" applyNumberFormat="1">
      <alignment readingOrder="0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horizontal="center" shrinkToFit="0" vertical="center" wrapText="0"/>
    </xf>
    <xf borderId="0" fillId="0" fontId="16" numFmtId="0" xfId="0" applyAlignment="1" applyFont="1">
      <alignment horizontal="center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0" fillId="0" fontId="16" numFmtId="49" xfId="0" applyAlignment="1" applyFont="1" applyNumberFormat="1">
      <alignment shrinkToFit="0" vertical="center" wrapText="0"/>
    </xf>
    <xf borderId="0" fillId="0" fontId="16" numFmtId="0" xfId="0" applyAlignment="1" applyFont="1">
      <alignment horizontal="center" shrinkToFit="0" vertical="center" wrapText="0"/>
    </xf>
    <xf borderId="0" fillId="6" fontId="16" numFmtId="0" xfId="0" applyAlignment="1" applyFill="1" applyFont="1">
      <alignment horizontal="center" readingOrder="0" shrinkToFit="0" vertical="center" wrapText="0"/>
    </xf>
    <xf borderId="0" fillId="6" fontId="16" numFmtId="0" xfId="0" applyAlignment="1" applyFont="1">
      <alignment horizontal="center" shrinkToFit="0" vertical="center" wrapText="0"/>
    </xf>
    <xf borderId="0" fillId="6" fontId="16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wrapText="0"/>
    </xf>
    <xf borderId="0" fillId="0" fontId="16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17" numFmtId="0" xfId="0" applyAlignment="1" applyFont="1">
      <alignment readingOrder="0"/>
    </xf>
    <xf borderId="0" fillId="0" fontId="18" numFmtId="0" xfId="0" applyFont="1"/>
    <xf borderId="0" fillId="0" fontId="18" numFmtId="0" xfId="0" applyAlignment="1" applyFont="1">
      <alignment readingOrder="0"/>
    </xf>
    <xf borderId="0" fillId="0" fontId="16" numFmtId="0" xfId="0" applyAlignment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6" numFmtId="165" xfId="0" applyAlignment="1" applyFont="1" applyNumberFormat="1">
      <alignment horizontal="center" readingOrder="0" shrinkToFit="0" vertical="center" wrapText="0"/>
    </xf>
    <xf borderId="0" fillId="0" fontId="16" numFmtId="0" xfId="0" applyAlignment="1" applyFont="1">
      <alignment shrinkToFit="0" vertical="center" wrapText="0"/>
    </xf>
    <xf borderId="0" fillId="0" fontId="16" numFmtId="0" xfId="0" applyAlignment="1" applyFont="1">
      <alignment shrinkToFit="0" vertical="center" wrapText="0"/>
    </xf>
    <xf borderId="0" fillId="0" fontId="16" numFmtId="165" xfId="0" applyAlignment="1" applyFont="1" applyNumberFormat="1">
      <alignment horizontal="center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16" numFmtId="49" xfId="0" applyAlignment="1" applyFont="1" applyNumberFormat="1">
      <alignment readingOrder="0" shrinkToFit="0" wrapText="0"/>
    </xf>
    <xf borderId="0" fillId="0" fontId="16" numFmtId="0" xfId="0" applyAlignment="1" applyFont="1">
      <alignment horizontal="center" shrinkToFit="0" wrapText="0"/>
    </xf>
    <xf borderId="0" fillId="0" fontId="16" numFmtId="0" xfId="0" applyAlignment="1" applyFont="1">
      <alignment horizontal="center" shrinkToFit="0" wrapText="0"/>
    </xf>
    <xf borderId="0" fillId="0" fontId="16" numFmtId="165" xfId="0" applyAlignment="1" applyFont="1" applyNumberFormat="1">
      <alignment horizontal="center" shrinkToFit="0" wrapText="0"/>
    </xf>
    <xf borderId="0" fillId="0" fontId="16" numFmtId="49" xfId="0" applyAlignment="1" applyFont="1" applyNumberFormat="1">
      <alignment shrinkToFit="0" wrapText="0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center" shrinkToFit="0" vertical="center" wrapText="0"/>
    </xf>
    <xf borderId="0" fillId="0" fontId="16" numFmtId="0" xfId="0" applyAlignment="1" applyFont="1">
      <alignment readingOrder="0" shrinkToFit="0" wrapText="0"/>
    </xf>
    <xf borderId="0" fillId="0" fontId="19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23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4FA80D"/>
          <bgColor rgb="FF4FA80D"/>
        </patternFill>
      </fill>
      <border/>
    </dxf>
    <dxf>
      <font/>
      <fill>
        <patternFill patternType="solid">
          <fgColor rgb="FFD3E9C3"/>
          <bgColor rgb="FFD3E9C3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font>
        <b/>
        <color rgb="FF38761D"/>
      </font>
      <fill>
        <patternFill patternType="solid">
          <fgColor rgb="FFD3E9C3"/>
          <bgColor rgb="FFD3E9C3"/>
        </patternFill>
      </fill>
      <border/>
    </dxf>
    <dxf>
      <font>
        <b/>
        <color rgb="FFEA4335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3E9C3"/>
          <bgColor rgb="FFD3E9C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>
        <color rgb="FFFF9900"/>
      </font>
      <fill>
        <patternFill patternType="solid">
          <fgColor rgb="FFFCE5CD"/>
          <bgColor rgb="FFFCE5CD"/>
        </patternFill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color rgb="FF34A853"/>
      </font>
      <fill>
        <patternFill patternType="solid">
          <fgColor rgb="FFD3E9C3"/>
          <bgColor rgb="FFD3E9C3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font>
        <color rgb="FF34A853"/>
      </font>
      <fill>
        <patternFill patternType="solid">
          <fgColor rgb="FFB7E1CD"/>
          <bgColor rgb="FFB7E1CD"/>
        </patternFill>
      </fill>
      <border/>
    </dxf>
    <dxf>
      <font>
        <color rgb="FFFF0000"/>
      </font>
      <fill>
        <patternFill patternType="solid">
          <fgColor rgb="FFB7E1CD"/>
          <bgColor rgb="FFB7E1CD"/>
        </patternFill>
      </fill>
      <border/>
    </dxf>
    <dxf>
      <font>
        <b/>
        <color rgb="FFFFFFFF"/>
      </font>
      <fill>
        <patternFill patternType="solid">
          <fgColor theme="5"/>
          <bgColor theme="5"/>
        </patternFill>
      </fill>
      <border/>
    </dxf>
    <dxf>
      <font>
        <b/>
        <color rgb="FFFFFFFF"/>
      </font>
      <fill>
        <patternFill patternType="solid">
          <fgColor theme="7"/>
          <bgColor theme="7"/>
        </patternFill>
      </fill>
      <border/>
    </dxf>
  </dxfs>
  <tableStyles count="46">
    <tableStyle count="4" pivot="0" name="Lista Moviment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ANNO-style">
      <tableStyleElement dxfId="5" type="headerRow"/>
      <tableStyleElement dxfId="2" type="firstRowStripe"/>
      <tableStyleElement dxfId="3" type="secondRowStripe"/>
      <tableStyleElement dxfId="6" type="totalRow"/>
      <tableStyleElement dxfId="4" size="0" type="wholeTable"/>
    </tableStyle>
    <tableStyle count="4" pivot="0" name="ANNO-style 2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5" pivot="0" name="ANNO-style 3">
      <tableStyleElement dxfId="1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5" pivot="0" name="Gen-style">
      <tableStyleElement dxfId="5" type="headerRow"/>
      <tableStyleElement dxfId="2" type="firstRowStripe"/>
      <tableStyleElement dxfId="3" type="secondRowStripe"/>
      <tableStyleElement dxfId="6" type="totalRow"/>
      <tableStyleElement dxfId="4" size="0" type="wholeTable"/>
    </tableStyle>
    <tableStyle count="4" pivot="0" name="Gen-style 2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5" pivot="0" name="Gen-style 3">
      <tableStyleElement dxfId="1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5" pivot="0" name="Feb-style">
      <tableStyleElement dxfId="5" type="headerRow"/>
      <tableStyleElement dxfId="2" type="firstRowStripe"/>
      <tableStyleElement dxfId="3" type="secondRowStripe"/>
      <tableStyleElement dxfId="6" type="totalRow"/>
      <tableStyleElement dxfId="4" size="0" type="wholeTable"/>
    </tableStyle>
    <tableStyle count="4" pivot="0" name="Feb-style 2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5" pivot="0" name="Feb-style 3">
      <tableStyleElement dxfId="1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5" pivot="0" name="Mar-style">
      <tableStyleElement dxfId="5" type="headerRow"/>
      <tableStyleElement dxfId="2" type="firstRowStripe"/>
      <tableStyleElement dxfId="3" type="secondRowStripe"/>
      <tableStyleElement dxfId="6" type="totalRow"/>
      <tableStyleElement dxfId="4" size="0" type="wholeTable"/>
    </tableStyle>
    <tableStyle count="4" pivot="0" name="Mar-style 2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5" pivot="0" name="Mar-style 3">
      <tableStyleElement dxfId="1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5" pivot="0" name="Apr-style">
      <tableStyleElement dxfId="5" type="headerRow"/>
      <tableStyleElement dxfId="2" type="firstRowStripe"/>
      <tableStyleElement dxfId="3" type="secondRowStripe"/>
      <tableStyleElement dxfId="6" type="totalRow"/>
      <tableStyleElement dxfId="4" size="0" type="wholeTable"/>
    </tableStyle>
    <tableStyle count="4" pivot="0" name="Apr-style 2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5" pivot="0" name="Apr-style 3">
      <tableStyleElement dxfId="1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5" pivot="0" name="Mag-style">
      <tableStyleElement dxfId="5" type="headerRow"/>
      <tableStyleElement dxfId="2" type="firstRowStripe"/>
      <tableStyleElement dxfId="3" type="secondRowStripe"/>
      <tableStyleElement dxfId="6" type="totalRow"/>
      <tableStyleElement dxfId="4" size="0" type="wholeTable"/>
    </tableStyle>
    <tableStyle count="4" pivot="0" name="Mag-style 2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5" pivot="0" name="Mag-style 3">
      <tableStyleElement dxfId="1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5" pivot="0" name="Giu-style">
      <tableStyleElement dxfId="5" type="headerRow"/>
      <tableStyleElement dxfId="2" type="firstRowStripe"/>
      <tableStyleElement dxfId="3" type="secondRowStripe"/>
      <tableStyleElement dxfId="6" type="totalRow"/>
      <tableStyleElement dxfId="4" size="0" type="wholeTable"/>
    </tableStyle>
    <tableStyle count="4" pivot="0" name="Giu-style 2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5" pivot="0" name="Giu-style 3">
      <tableStyleElement dxfId="1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5" pivot="0" name="Lug-style">
      <tableStyleElement dxfId="5" type="headerRow"/>
      <tableStyleElement dxfId="2" type="firstRowStripe"/>
      <tableStyleElement dxfId="3" type="secondRowStripe"/>
      <tableStyleElement dxfId="6" type="totalRow"/>
      <tableStyleElement dxfId="4" size="0" type="wholeTable"/>
    </tableStyle>
    <tableStyle count="4" pivot="0" name="Lug-style 2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5" pivot="0" name="Lug-style 3">
      <tableStyleElement dxfId="1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5" pivot="0" name="Ago-style">
      <tableStyleElement dxfId="5" type="headerRow"/>
      <tableStyleElement dxfId="2" type="firstRowStripe"/>
      <tableStyleElement dxfId="3" type="secondRowStripe"/>
      <tableStyleElement dxfId="6" type="totalRow"/>
      <tableStyleElement dxfId="4" size="0" type="wholeTable"/>
    </tableStyle>
    <tableStyle count="4" pivot="0" name="Ago-style 2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5" pivot="0" name="Ago-style 3">
      <tableStyleElement dxfId="1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5" pivot="0" name="Set-style">
      <tableStyleElement dxfId="5" type="headerRow"/>
      <tableStyleElement dxfId="2" type="firstRowStripe"/>
      <tableStyleElement dxfId="3" type="secondRowStripe"/>
      <tableStyleElement dxfId="6" type="totalRow"/>
      <tableStyleElement dxfId="4" size="0" type="wholeTable"/>
    </tableStyle>
    <tableStyle count="4" pivot="0" name="Set-style 2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5" pivot="0" name="Set-style 3">
      <tableStyleElement dxfId="1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5" pivot="0" name="Ott-style">
      <tableStyleElement dxfId="5" type="headerRow"/>
      <tableStyleElement dxfId="2" type="firstRowStripe"/>
      <tableStyleElement dxfId="3" type="secondRowStripe"/>
      <tableStyleElement dxfId="6" type="totalRow"/>
      <tableStyleElement dxfId="4" size="0" type="wholeTable"/>
    </tableStyle>
    <tableStyle count="4" pivot="0" name="Ott-style 2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5" pivot="0" name="Ott-style 3">
      <tableStyleElement dxfId="1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5" pivot="0" name="Nov-style">
      <tableStyleElement dxfId="5" type="headerRow"/>
      <tableStyleElement dxfId="2" type="firstRowStripe"/>
      <tableStyleElement dxfId="3" type="secondRowStripe"/>
      <tableStyleElement dxfId="6" type="totalRow"/>
      <tableStyleElement dxfId="4" size="0" type="wholeTable"/>
    </tableStyle>
    <tableStyle count="4" pivot="0" name="Nov-style 2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5" pivot="0" name="Nov-style 3">
      <tableStyleElement dxfId="1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5" pivot="0" name="Dic-style">
      <tableStyleElement dxfId="5" type="headerRow"/>
      <tableStyleElement dxfId="2" type="firstRowStripe"/>
      <tableStyleElement dxfId="3" type="secondRowStripe"/>
      <tableStyleElement dxfId="6" type="totalRow"/>
      <tableStyleElement dxfId="4" size="0" type="wholeTable"/>
    </tableStyle>
    <tableStyle count="4" pivot="0" name="Dic-style 2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5" pivot="0" name="Dic-style 3">
      <tableStyleElement dxfId="1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4" pivot="0" name="Sinking Funds-style">
      <tableStyleElement dxfId="14" type="headerRow"/>
      <tableStyleElement dxfId="2" type="firstRowStripe"/>
      <tableStyleElement dxfId="3" type="secondRowStripe"/>
      <tableStyleElement dxfId="4" size="0" type="wholeTable"/>
    </tableStyle>
    <tableStyle count="4" pivot="0" name="Sinking Fund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Investimenti-style">
      <tableStyleElement dxfId="1" type="headerRow"/>
      <tableStyleElement dxfId="2" type="firstRowStripe"/>
      <tableStyleElement dxfId="3" type="secondRowStripe"/>
      <tableStyleElement dxfId="18" type="totalRow"/>
      <tableStyleElement dxfId="4" size="0" type="wholeTable"/>
    </tableStyle>
    <tableStyle count="5" pivot="0" name="Debiti-style">
      <tableStyleElement dxfId="1" type="headerRow"/>
      <tableStyleElement dxfId="2" type="firstRowStripe"/>
      <tableStyleElement dxfId="3" type="secondRowStripe"/>
      <tableStyleElement dxfId="8" type="totalRow"/>
      <tableStyleElement dxfId="4" size="0" type="wholeTable"/>
    </tableStyle>
    <tableStyle count="4" pivot="0" name="Net Wort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t Worth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ANDAMENTO GENERALE ANNO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ANNO!$B$3:$M$3</c:f>
            </c:strRef>
          </c:cat>
          <c:val>
            <c:numRef>
              <c:f>ANNO!$C$33:$N$33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chemeClr val="accent4"/>
              </a:solidFill>
            </a:ln>
          </c:spPr>
          <c:marker>
            <c:symbol val="circle"/>
            <c:size val="10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dPt>
            <c:idx val="7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ANNO!$B$3:$M$3</c:f>
            </c:strRef>
          </c:cat>
          <c:val>
            <c:numRef>
              <c:f>ANNO!$B$8:$M$8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chemeClr val="accent2"/>
              </a:solidFill>
            </a:ln>
          </c:spPr>
          <c:marker>
            <c:symbol val="circle"/>
            <c:size val="10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EA4335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ANNO!$B$3:$M$3</c:f>
            </c:strRef>
          </c:cat>
          <c:val>
            <c:numRef>
              <c:f>ANNO!$C$34:$N$34</c:f>
              <c:numCache/>
            </c:numRef>
          </c:val>
          <c:smooth val="0"/>
        </c:ser>
        <c:axId val="1617730320"/>
        <c:axId val="994420058"/>
      </c:lineChart>
      <c:catAx>
        <c:axId val="1617730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</a:p>
        </c:txPr>
        <c:crossAx val="994420058"/>
      </c:catAx>
      <c:valAx>
        <c:axId val="9944200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77303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Spese Necessità Totali Anno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ANNO!$B$13:$B$19</c:f>
            </c:strRef>
          </c:cat>
          <c:val>
            <c:numRef>
              <c:f>ANNO!$Q$13:$Q$19</c:f>
              <c:numCache/>
            </c:numRef>
          </c:val>
        </c:ser>
        <c:overlap val="100"/>
        <c:axId val="661754186"/>
        <c:axId val="1327702264"/>
      </c:barChart>
      <c:catAx>
        <c:axId val="661754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327702264"/>
      </c:catAx>
      <c:valAx>
        <c:axId val="13277022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1754186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Spese Extra Totali Anno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ANNO!$B$23:$B$30</c:f>
            </c:strRef>
          </c:cat>
          <c:val>
            <c:numRef>
              <c:f>ANNO!$Q$23:$Q$30</c:f>
              <c:numCache/>
            </c:numRef>
          </c:val>
        </c:ser>
        <c:axId val="512729645"/>
        <c:axId val="1323921997"/>
      </c:barChart>
      <c:catAx>
        <c:axId val="5127296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323921997"/>
      </c:catAx>
      <c:valAx>
        <c:axId val="13239219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27296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Spesa Media Mese Annua vS Budget [Necessità]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ANNO!$B$13:$B$19</c:f>
            </c:strRef>
          </c:cat>
          <c:val>
            <c:numRef>
              <c:f>ANNO!$O$13:$O$19</c:f>
              <c:numCache/>
            </c:numRef>
          </c:val>
        </c:ser>
        <c:ser>
          <c:idx val="1"/>
          <c:order val="1"/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ANNO!$B$13:$B$19</c:f>
            </c:strRef>
          </c:cat>
          <c:val>
            <c:numRef>
              <c:f>ANNO!$P$13:$P$19</c:f>
              <c:numCache/>
            </c:numRef>
          </c:val>
        </c:ser>
        <c:axId val="480763879"/>
        <c:axId val="1957095919"/>
      </c:barChart>
      <c:catAx>
        <c:axId val="480763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</a:p>
        </c:txPr>
        <c:crossAx val="1957095919"/>
      </c:catAx>
      <c:valAx>
        <c:axId val="19570959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07638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Spesa Media Mese Annua vS Budget [Extra]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ANNO!$B$23:$B$30</c:f>
            </c:strRef>
          </c:cat>
          <c:val>
            <c:numRef>
              <c:f>ANNO!$O$23:$O$30</c:f>
              <c:numCache/>
            </c:numRef>
          </c:val>
        </c:ser>
        <c:ser>
          <c:idx val="1"/>
          <c:order val="1"/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ANNO!$B$23:$B$30</c:f>
            </c:strRef>
          </c:cat>
          <c:val>
            <c:numRef>
              <c:f>ANNO!$P$23:$P$30</c:f>
              <c:numCache/>
            </c:numRef>
          </c:val>
        </c:ser>
        <c:axId val="2041027943"/>
        <c:axId val="775234328"/>
      </c:barChart>
      <c:catAx>
        <c:axId val="2041027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</a:p>
        </c:txPr>
        <c:crossAx val="775234328"/>
      </c:catAx>
      <c:valAx>
        <c:axId val="7752343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10279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 Speso Effettivo Vs Budget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(Gen!$B$13:$B$19,Gen!$C$13:$C$19,Gen!$D$13:$D$19,Gen!$B$23:$B$30,Gen!$C$23:$C$30,Gen!$D$23:$D$30)</c:f>
            </c:strRef>
          </c:cat>
          <c:val>
            <c:numRef>
              <c:f>(Gen!$B$13:$B$19,Gen!$C$13:$C$19,Gen!$D$13:$D$19,Gen!$B$23:$B$30,Gen!$C$23:$C$30,Gen!$D$23:$D$30)</c:f>
              <c:numCache/>
            </c:numRef>
          </c:val>
        </c:ser>
        <c:axId val="1174647714"/>
        <c:axId val="1015740626"/>
      </c:barChart>
      <c:catAx>
        <c:axId val="11746477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+mn-lt"/>
              </a:defRPr>
            </a:pPr>
          </a:p>
        </c:txPr>
        <c:crossAx val="1015740626"/>
      </c:catAx>
      <c:valAx>
        <c:axId val="10157406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46477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 Speso Effettivo Vs Budget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(Feb!$B$13:$B$19,Feb!$C$13:$C$19,Feb!$D$13:$D$19,Feb!$B$23:$B$30,Feb!$C$23:$C$30,Feb!$D$23:$D$30)</c:f>
            </c:strRef>
          </c:cat>
          <c:val>
            <c:numRef>
              <c:f>(Feb!$B$13:$B$19,Feb!$C$13:$C$19,Feb!$D$13:$D$19,Feb!$B$23:$B$30,Feb!$C$23:$C$30,Feb!$D$23:$D$30)</c:f>
              <c:numCache/>
            </c:numRef>
          </c:val>
        </c:ser>
        <c:axId val="1506872992"/>
        <c:axId val="1643616507"/>
      </c:barChart>
      <c:catAx>
        <c:axId val="1506872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+mn-lt"/>
              </a:defRPr>
            </a:pPr>
          </a:p>
        </c:txPr>
        <c:crossAx val="1643616507"/>
      </c:catAx>
      <c:valAx>
        <c:axId val="16436165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68729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 Speso Effettivo Vs Budget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(Mar!$B$13:$B$19,Mar!$C$13:$C$19,Mar!$D$13:$D$19,Mar!$B$23:$B$30,Mar!$C$23:$C$30,Mar!$D$23:$D$30)</c:f>
            </c:strRef>
          </c:cat>
          <c:val>
            <c:numRef>
              <c:f>(Mar!$B$13:$B$19,Mar!$C$13:$C$19,Mar!$D$13:$D$19,Mar!$B$23:$B$30,Mar!$C$23:$C$30,Mar!$D$23:$D$30)</c:f>
              <c:numCache/>
            </c:numRef>
          </c:val>
        </c:ser>
        <c:axId val="351683484"/>
        <c:axId val="27779183"/>
      </c:barChart>
      <c:catAx>
        <c:axId val="3516834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+mn-lt"/>
              </a:defRPr>
            </a:pPr>
          </a:p>
        </c:txPr>
        <c:crossAx val="27779183"/>
      </c:catAx>
      <c:valAx>
        <c:axId val="27779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16834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 Speso Effettivo Vs Budget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(Apr!$B$13:$B$19,Apr!$C$13:$C$19,Apr!$D$13:$D$19,Apr!$B$23:$B$30,Apr!$C$23:$C$30,Apr!$D$23:$D$30)</c:f>
            </c:strRef>
          </c:cat>
          <c:val>
            <c:numRef>
              <c:f>(Apr!$B$13:$B$19,Apr!$C$13:$C$19,Apr!$D$13:$D$19,Apr!$B$23:$B$30,Apr!$C$23:$C$30,Apr!$D$23:$D$30)</c:f>
              <c:numCache/>
            </c:numRef>
          </c:val>
        </c:ser>
        <c:axId val="748088184"/>
        <c:axId val="1706320730"/>
      </c:barChart>
      <c:catAx>
        <c:axId val="748088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+mn-lt"/>
              </a:defRPr>
            </a:pPr>
          </a:p>
        </c:txPr>
        <c:crossAx val="1706320730"/>
      </c:catAx>
      <c:valAx>
        <c:axId val="17063207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80881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 Speso Effettivo Vs Budget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(Mag!$B$13:$B$19,Mag!$C$13:$C$19,Mag!$D$13:$D$19,Mag!$B$23:$B$30,Mag!$C$23:$C$30,Mag!$D$23:$D$30)</c:f>
            </c:strRef>
          </c:cat>
          <c:val>
            <c:numRef>
              <c:f>(Mag!$B$13:$B$19,Mag!$C$13:$C$19,Mag!$D$13:$D$19,Mag!$B$23:$B$30,Mag!$C$23:$C$30,Mag!$D$23:$D$30)</c:f>
              <c:numCache/>
            </c:numRef>
          </c:val>
        </c:ser>
        <c:axId val="41607459"/>
        <c:axId val="1741549416"/>
      </c:barChart>
      <c:catAx>
        <c:axId val="41607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+mn-lt"/>
              </a:defRPr>
            </a:pPr>
          </a:p>
        </c:txPr>
        <c:crossAx val="1741549416"/>
      </c:catAx>
      <c:valAx>
        <c:axId val="17415494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6074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 Speso Effettivo Vs Budget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(Giu!$B$13:$B$19,Giu!$C$13:$C$19,Giu!$D$13:$D$19,Giu!$B$23:$B$30,Giu!$C$23:$C$30,Giu!$D$23:$D$30)</c:f>
            </c:strRef>
          </c:cat>
          <c:val>
            <c:numRef>
              <c:f>(Giu!$B$13:$B$19,Giu!$C$13:$C$19,Giu!$D$13:$D$19,Giu!$B$23:$B$30,Giu!$C$23:$C$30,Giu!$D$23:$D$30)</c:f>
              <c:numCache/>
            </c:numRef>
          </c:val>
        </c:ser>
        <c:axId val="1186717909"/>
        <c:axId val="843312120"/>
      </c:barChart>
      <c:catAx>
        <c:axId val="11867179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+mn-lt"/>
              </a:defRPr>
            </a:pPr>
          </a:p>
        </c:txPr>
        <c:crossAx val="843312120"/>
      </c:catAx>
      <c:valAx>
        <c:axId val="8433121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67179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 Speso Effettivo Vs Budget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(Lug!$B$13:$B$19,Lug!$C$13:$C$19,Lug!$D$13:$D$19,Lug!$B$23:$B$30,Lug!$C$23:$C$30,Lug!$D$23:$D$30)</c:f>
            </c:strRef>
          </c:cat>
          <c:val>
            <c:numRef>
              <c:f>(Lug!$B$13:$B$19,Lug!$C$13:$C$19,Lug!$D$13:$D$19,Lug!$B$23:$B$30,Lug!$C$23:$C$30,Lug!$D$23:$D$30)</c:f>
              <c:numCache/>
            </c:numRef>
          </c:val>
        </c:ser>
        <c:axId val="1656501160"/>
        <c:axId val="1963913904"/>
      </c:barChart>
      <c:catAx>
        <c:axId val="1656501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+mn-lt"/>
              </a:defRPr>
            </a:pPr>
          </a:p>
        </c:txPr>
        <c:crossAx val="1963913904"/>
      </c:catAx>
      <c:valAx>
        <c:axId val="1963913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65011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 Speso Effettivo Vs Budget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(Ago!$B$13:$B$19,Ago!$C$13:$C$19,Ago!$D$13:$D$19,Ago!$B$23:$B$30,Ago!$C$23:$C$30,Ago!$D$23:$D$30)</c:f>
            </c:strRef>
          </c:cat>
          <c:val>
            <c:numRef>
              <c:f>(Ago!$B$13:$B$19,Ago!$C$13:$C$19,Ago!$D$13:$D$19,Ago!$B$23:$B$30,Ago!$C$23:$C$30,Ago!$D$23:$D$30)</c:f>
              <c:numCache/>
            </c:numRef>
          </c:val>
        </c:ser>
        <c:axId val="940891071"/>
        <c:axId val="127526731"/>
      </c:barChart>
      <c:catAx>
        <c:axId val="940891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+mn-lt"/>
              </a:defRPr>
            </a:pPr>
          </a:p>
        </c:txPr>
        <c:crossAx val="127526731"/>
      </c:catAx>
      <c:valAx>
        <c:axId val="1275267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08910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 Speso Effettivo Vs Budget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(Set!$B$13:$B$19,Set!$C$13:$C$19,Set!$D$13:$D$19,Set!$B$23:$B$30,Set!$C$23:$C$30,Set!$D$23:$D$30)</c:f>
            </c:strRef>
          </c:cat>
          <c:val>
            <c:numRef>
              <c:f>(Set!$B$13:$B$19,Set!$C$13:$C$19,Set!$D$13:$D$19,Set!$B$23:$B$30,Set!$C$23:$C$30,Set!$D$23:$D$30)</c:f>
              <c:numCache/>
            </c:numRef>
          </c:val>
        </c:ser>
        <c:axId val="1599670173"/>
        <c:axId val="989926925"/>
      </c:barChart>
      <c:catAx>
        <c:axId val="15996701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+mn-lt"/>
              </a:defRPr>
            </a:pPr>
          </a:p>
        </c:txPr>
        <c:crossAx val="989926925"/>
      </c:catAx>
      <c:valAx>
        <c:axId val="9899269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96701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 Speso Effettivo Vs Budget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(Ott!$B$13:$B$19,Ott!$C$13:$C$19,Ott!$D$13:$D$19,Ott!$B$23:$B$30,Ott!$C$23:$C$30,Ott!$D$23:$D$30)</c:f>
            </c:strRef>
          </c:cat>
          <c:val>
            <c:numRef>
              <c:f>(Ott!$B$13:$B$19,Ott!$C$13:$C$19,Ott!$D$13:$D$19,Ott!$B$23:$B$30,Ott!$C$23:$C$30,Ott!$D$23:$D$30)</c:f>
              <c:numCache/>
            </c:numRef>
          </c:val>
        </c:ser>
        <c:axId val="1875464014"/>
        <c:axId val="1129138443"/>
      </c:barChart>
      <c:catAx>
        <c:axId val="1875464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+mn-lt"/>
              </a:defRPr>
            </a:pPr>
          </a:p>
        </c:txPr>
        <c:crossAx val="1129138443"/>
      </c:catAx>
      <c:valAx>
        <c:axId val="11291384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54640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 Speso Effettivo Vs Budget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(Nov!$B$13:$B$19,Nov!$C$13:$C$19,Nov!$D$13:$D$19,Nov!$B$23:$B$30,Nov!$C$23:$C$30,Nov!$D$23:$D$30)</c:f>
            </c:strRef>
          </c:cat>
          <c:val>
            <c:numRef>
              <c:f>(Nov!$B$13:$B$19,Nov!$C$13:$C$19,Nov!$D$13:$D$19,Nov!$B$23:$B$30,Nov!$C$23:$C$30,Nov!$D$23:$D$30)</c:f>
              <c:numCache/>
            </c:numRef>
          </c:val>
        </c:ser>
        <c:axId val="1040834030"/>
        <c:axId val="880972657"/>
      </c:barChart>
      <c:catAx>
        <c:axId val="1040834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+mn-lt"/>
              </a:defRPr>
            </a:pPr>
          </a:p>
        </c:txPr>
        <c:crossAx val="880972657"/>
      </c:catAx>
      <c:valAx>
        <c:axId val="8809726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08340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 Speso Effettivo Vs Budget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(Dic!$B$13:$B$19,Dic!$C$13:$C$19,Dic!$D$13:$D$19,Dic!$B$23:$B$30,Dic!$C$23:$C$30,Dic!$D$23:$D$30)</c:f>
            </c:strRef>
          </c:cat>
          <c:val>
            <c:numRef>
              <c:f>(Dic!$B$13:$B$19,Dic!$C$13:$C$19,Dic!$D$13:$D$19,Dic!$B$23:$B$30,Dic!$C$23:$C$30,Dic!$D$23:$D$30)</c:f>
              <c:numCache/>
            </c:numRef>
          </c:val>
        </c:ser>
        <c:axId val="1202479756"/>
        <c:axId val="1984029066"/>
      </c:barChart>
      <c:catAx>
        <c:axId val="12024797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+mn-lt"/>
              </a:defRPr>
            </a:pPr>
          </a:p>
        </c:txPr>
        <c:crossAx val="1984029066"/>
      </c:catAx>
      <c:valAx>
        <c:axId val="19840290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24797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Distribuzione degli Obiettivi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'Sinking Funds'!$C$1</c:f>
            </c:strRef>
          </c:tx>
          <c:dPt>
            <c:idx val="0"/>
            <c:spPr>
              <a:solidFill>
                <a:schemeClr val="accent2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'Sinking Funds'!$A$2:$A$15</c:f>
            </c:strRef>
          </c:cat>
          <c:val>
            <c:numRef>
              <c:f>'Sinking Funds'!$C$2:$C$15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Stato dei Risparmi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'Sinking Funds'!$G$1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'Sinking Funds'!$A$2:$A$15</c:f>
            </c:strRef>
          </c:cat>
          <c:val>
            <c:numRef>
              <c:f>'Sinking Funds'!$G$2:$G$15</c:f>
              <c:numCache/>
            </c:numRef>
          </c:val>
        </c:ser>
        <c:ser>
          <c:idx val="1"/>
          <c:order val="1"/>
          <c:tx>
            <c:strRef>
              <c:f>'Sinking Funds'!$H$1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'Sinking Funds'!$A$2:$A$15</c:f>
            </c:strRef>
          </c:cat>
          <c:val>
            <c:numRef>
              <c:f>'Sinking Funds'!$H$2:$H$15</c:f>
              <c:numCache/>
            </c:numRef>
          </c:val>
        </c:ser>
        <c:overlap val="100"/>
        <c:axId val="557553443"/>
        <c:axId val="280386468"/>
      </c:barChart>
      <c:catAx>
        <c:axId val="5575534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280386468"/>
      </c:catAx>
      <c:valAx>
        <c:axId val="2803864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7553443"/>
        <c:crosses val="max"/>
      </c:valAx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Totale Saldo Attuale vs Mancante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'Sinking Funds'!$B$19:$C$19</c:f>
            </c:strRef>
          </c:cat>
          <c:val>
            <c:numRef>
              <c:f>'Sinking Funds'!$B$19:$C$19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Totale Valore Iniziale vS Valore Attuale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6"/>
            </a:solidFill>
            <a:ln cmpd="sng">
              <a:solidFill>
                <a:srgbClr val="000000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Investimenti!$G$26</c:f>
              <c:numCache/>
            </c:numRef>
          </c:val>
        </c:ser>
        <c:ser>
          <c:idx val="1"/>
          <c:order val="1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Investimenti!$H$26</c:f>
              <c:numCache/>
            </c:numRef>
          </c:val>
        </c:ser>
        <c:axId val="1046851790"/>
        <c:axId val="113521026"/>
      </c:bar3DChart>
      <c:catAx>
        <c:axId val="1046851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521026"/>
      </c:catAx>
      <c:valAx>
        <c:axId val="1135210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6851790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Totale Pagato e Totale Mancante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Debiti!$E$1:$F$1</c:f>
            </c:strRef>
          </c:cat>
          <c:val>
            <c:numRef>
              <c:f>Debiti!$E$16:$F$16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Net Worth Inizio Anno vS Attuale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'Net Worth'!$F$2</c:f>
              <c:numCache/>
            </c:numRef>
          </c:val>
        </c:ser>
        <c:ser>
          <c:idx val="1"/>
          <c:order val="1"/>
          <c:spPr>
            <a:solidFill>
              <a:srgbClr val="E6913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'Net Worth'!$F$9</c:f>
              <c:numCache/>
            </c:numRef>
          </c:val>
        </c:ser>
        <c:axId val="312423686"/>
        <c:axId val="1428995546"/>
      </c:barChart>
      <c:catAx>
        <c:axId val="3124236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8995546"/>
      </c:catAx>
      <c:valAx>
        <c:axId val="14289955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3124236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Relationship Id="rId4" Type="http://schemas.openxmlformats.org/officeDocument/2006/relationships/image" Target="../media/Chart4.png"/><Relationship Id="rId9" Type="http://schemas.openxmlformats.org/officeDocument/2006/relationships/image" Target="../media/image2.png"/><Relationship Id="rId5" Type="http://schemas.openxmlformats.org/officeDocument/2006/relationships/chart" Target="../charts/chart2.xml"/><Relationship Id="rId6" Type="http://schemas.openxmlformats.org/officeDocument/2006/relationships/chart" Target="../charts/chart3.xml"/><Relationship Id="rId7" Type="http://schemas.openxmlformats.org/officeDocument/2006/relationships/chart" Target="../charts/chart4.xml"/><Relationship Id="rId8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image" Target="../media/Chart10.png"/><Relationship Id="rId3" Type="http://schemas.openxmlformats.org/officeDocument/2006/relationships/image" Target="../media/Chart11.png"/><Relationship Id="rId4" Type="http://schemas.openxmlformats.org/officeDocument/2006/relationships/image" Target="../media/Chart12.png"/><Relationship Id="rId5" Type="http://schemas.openxmlformats.org/officeDocument/2006/relationships/image" Target="../media/image4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image" Target="../media/Chart14.png"/><Relationship Id="rId3" Type="http://schemas.openxmlformats.org/officeDocument/2006/relationships/image" Target="../media/Chart15.png"/><Relationship Id="rId4" Type="http://schemas.openxmlformats.org/officeDocument/2006/relationships/image" Target="../media/Chart16.png"/><Relationship Id="rId5" Type="http://schemas.openxmlformats.org/officeDocument/2006/relationships/image" Target="../media/image3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image" Target="../media/Chart18.png"/><Relationship Id="rId3" Type="http://schemas.openxmlformats.org/officeDocument/2006/relationships/image" Target="../media/Chart19.png"/><Relationship Id="rId4" Type="http://schemas.openxmlformats.org/officeDocument/2006/relationships/image" Target="../media/Chart20.png"/><Relationship Id="rId5" Type="http://schemas.openxmlformats.org/officeDocument/2006/relationships/image" Target="../media/image6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image" Target="../media/Chart22.png"/><Relationship Id="rId3" Type="http://schemas.openxmlformats.org/officeDocument/2006/relationships/image" Target="../media/Chart23.png"/><Relationship Id="rId4" Type="http://schemas.openxmlformats.org/officeDocument/2006/relationships/image" Target="../media/Chart24.png"/><Relationship Id="rId5" Type="http://schemas.openxmlformats.org/officeDocument/2006/relationships/image" Target="../media/image5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image" Target="../media/Chart26.png"/><Relationship Id="rId3" Type="http://schemas.openxmlformats.org/officeDocument/2006/relationships/image" Target="../media/Chart27.png"/><Relationship Id="rId4" Type="http://schemas.openxmlformats.org/officeDocument/2006/relationships/image" Target="../media/Chart28.png"/><Relationship Id="rId5" Type="http://schemas.openxmlformats.org/officeDocument/2006/relationships/image" Target="../media/image8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image" Target="../media/Chart30.png"/><Relationship Id="rId3" Type="http://schemas.openxmlformats.org/officeDocument/2006/relationships/image" Target="../media/Chart31.png"/><Relationship Id="rId4" Type="http://schemas.openxmlformats.org/officeDocument/2006/relationships/image" Target="../media/Chart32.png"/><Relationship Id="rId5" Type="http://schemas.openxmlformats.org/officeDocument/2006/relationships/image" Target="../media/image7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image" Target="../media/Chart34.png"/><Relationship Id="rId3" Type="http://schemas.openxmlformats.org/officeDocument/2006/relationships/image" Target="../media/Chart35.png"/><Relationship Id="rId4" Type="http://schemas.openxmlformats.org/officeDocument/2006/relationships/image" Target="../media/Chart36.png"/><Relationship Id="rId5" Type="http://schemas.openxmlformats.org/officeDocument/2006/relationships/image" Target="../media/image9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image" Target="../media/Chart38.png"/><Relationship Id="rId3" Type="http://schemas.openxmlformats.org/officeDocument/2006/relationships/image" Target="../media/Chart39.png"/><Relationship Id="rId4" Type="http://schemas.openxmlformats.org/officeDocument/2006/relationships/image" Target="../media/Chart40.png"/><Relationship Id="rId5" Type="http://schemas.openxmlformats.org/officeDocument/2006/relationships/image" Target="../media/image10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image" Target="../media/Chart42.png"/><Relationship Id="rId3" Type="http://schemas.openxmlformats.org/officeDocument/2006/relationships/image" Target="../media/Chart43.png"/><Relationship Id="rId4" Type="http://schemas.openxmlformats.org/officeDocument/2006/relationships/image" Target="../media/Chart44.png"/><Relationship Id="rId5" Type="http://schemas.openxmlformats.org/officeDocument/2006/relationships/image" Target="../media/image1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image" Target="../media/Chart46.png"/><Relationship Id="rId3" Type="http://schemas.openxmlformats.org/officeDocument/2006/relationships/image" Target="../media/Chart47.png"/><Relationship Id="rId4" Type="http://schemas.openxmlformats.org/officeDocument/2006/relationships/image" Target="../media/Chart48.png"/><Relationship Id="rId5" Type="http://schemas.openxmlformats.org/officeDocument/2006/relationships/image" Target="../media/image12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image" Target="../media/Chart50.png"/><Relationship Id="rId3" Type="http://schemas.openxmlformats.org/officeDocument/2006/relationships/image" Target="../media/Chart51.png"/><Relationship Id="rId4" Type="http://schemas.openxmlformats.org/officeDocument/2006/relationships/image" Target="../media/Chart52.png"/><Relationship Id="rId5" Type="http://schemas.openxmlformats.org/officeDocument/2006/relationships/image" Target="../media/image13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image" Target="../media/Chart30.png"/><Relationship Id="rId3" Type="http://schemas.openxmlformats.org/officeDocument/2006/relationships/image" Target="../media/Chart55.png"/><Relationship Id="rId4" Type="http://schemas.openxmlformats.org/officeDocument/2006/relationships/image" Target="../media/Chart56.png"/><Relationship Id="rId5" Type="http://schemas.openxmlformats.org/officeDocument/2006/relationships/image" Target="../media/image14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Chart57.png"/><Relationship Id="rId2" Type="http://schemas.openxmlformats.org/officeDocument/2006/relationships/image" Target="../media/Chart58.png"/><Relationship Id="rId3" Type="http://schemas.openxmlformats.org/officeDocument/2006/relationships/chart" Target="../charts/chart18.xml"/><Relationship Id="rId4" Type="http://schemas.openxmlformats.org/officeDocument/2006/relationships/chart" Target="../charts/chart19.xml"/><Relationship Id="rId5" Type="http://schemas.openxmlformats.org/officeDocument/2006/relationships/image" Target="../media/Chart61.png"/><Relationship Id="rId6" Type="http://schemas.openxmlformats.org/officeDocument/2006/relationships/chart" Target="../charts/chart20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image" Target="../media/Chart6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962025</xdr:colOff>
      <xdr:row>1</xdr:row>
      <xdr:rowOff>-19050</xdr:rowOff>
    </xdr:from>
    <xdr:ext cx="11344275" cy="6381750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476250</xdr:colOff>
      <xdr:row>1</xdr:row>
      <xdr:rowOff>190500</xdr:rowOff>
    </xdr:from>
    <xdr:ext cx="2828925" cy="1200150"/>
    <xdr:pic>
      <xdr:nvPicPr>
        <xdr:cNvPr id="2049268642" name="Chart1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685800</xdr:colOff>
      <xdr:row>1</xdr:row>
      <xdr:rowOff>180975</xdr:rowOff>
    </xdr:from>
    <xdr:ext cx="2828925" cy="1200150"/>
    <xdr:pic>
      <xdr:nvPicPr>
        <xdr:cNvPr id="921825179" name="Chart2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476250</xdr:colOff>
      <xdr:row>7</xdr:row>
      <xdr:rowOff>9525</xdr:rowOff>
    </xdr:from>
    <xdr:ext cx="11106150" cy="6819900"/>
    <xdr:graphicFrame>
      <xdr:nvGraphicFramePr>
        <xdr:cNvPr id="3" name="Chart 3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23</xdr:col>
      <xdr:colOff>895350</xdr:colOff>
      <xdr:row>1</xdr:row>
      <xdr:rowOff>180975</xdr:rowOff>
    </xdr:from>
    <xdr:ext cx="4895850" cy="1200150"/>
    <xdr:pic>
      <xdr:nvPicPr>
        <xdr:cNvPr id="2039460793" name="Chart4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476250</xdr:colOff>
      <xdr:row>33</xdr:row>
      <xdr:rowOff>114300</xdr:rowOff>
    </xdr:from>
    <xdr:ext cx="8439150" cy="5295900"/>
    <xdr:graphicFrame>
      <xdr:nvGraphicFramePr>
        <xdr:cNvPr id="5" name="Chart 5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26</xdr:col>
      <xdr:colOff>771525</xdr:colOff>
      <xdr:row>33</xdr:row>
      <xdr:rowOff>114300</xdr:rowOff>
    </xdr:from>
    <xdr:ext cx="9944100" cy="5295900"/>
    <xdr:graphicFrame>
      <xdr:nvGraphicFramePr>
        <xdr:cNvPr id="6" name="Chart 6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17</xdr:col>
      <xdr:colOff>476250</xdr:colOff>
      <xdr:row>55</xdr:row>
      <xdr:rowOff>85725</xdr:rowOff>
    </xdr:from>
    <xdr:ext cx="9886950" cy="6124575"/>
    <xdr:graphicFrame>
      <xdr:nvGraphicFramePr>
        <xdr:cNvPr id="7" name="Chart 7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28</xdr:col>
      <xdr:colOff>457200</xdr:colOff>
      <xdr:row>55</xdr:row>
      <xdr:rowOff>85725</xdr:rowOff>
    </xdr:from>
    <xdr:ext cx="10020300" cy="6124575"/>
    <xdr:graphicFrame>
      <xdr:nvGraphicFramePr>
        <xdr:cNvPr id="8" name="Chart 8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76200</xdr:colOff>
      <xdr:row>0</xdr:row>
      <xdr:rowOff>0</xdr:rowOff>
    </xdr:from>
    <xdr:ext cx="6619875" cy="3419475"/>
    <xdr:pic>
      <xdr:nvPicPr>
        <xdr:cNvPr id="0" name="image2.png" title="Immagin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390525</xdr:colOff>
      <xdr:row>7</xdr:row>
      <xdr:rowOff>114300</xdr:rowOff>
    </xdr:from>
    <xdr:ext cx="9591675" cy="5924550"/>
    <xdr:graphicFrame>
      <xdr:nvGraphicFramePr>
        <xdr:cNvPr id="9" name="Chart 9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904875</xdr:colOff>
      <xdr:row>1</xdr:row>
      <xdr:rowOff>276225</xdr:rowOff>
    </xdr:from>
    <xdr:ext cx="2390775" cy="1104900"/>
    <xdr:pic>
      <xdr:nvPicPr>
        <xdr:cNvPr id="1109922197" name="Chart10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609600</xdr:colOff>
      <xdr:row>1</xdr:row>
      <xdr:rowOff>276225</xdr:rowOff>
    </xdr:from>
    <xdr:ext cx="2390775" cy="1104900"/>
    <xdr:pic>
      <xdr:nvPicPr>
        <xdr:cNvPr id="2140437681" name="Chart11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923925</xdr:colOff>
      <xdr:row>1</xdr:row>
      <xdr:rowOff>276225</xdr:rowOff>
    </xdr:from>
    <xdr:ext cx="3705225" cy="1104900"/>
    <xdr:pic>
      <xdr:nvPicPr>
        <xdr:cNvPr id="274515300" name="Chart12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952500</xdr:colOff>
      <xdr:row>0</xdr:row>
      <xdr:rowOff>0</xdr:rowOff>
    </xdr:from>
    <xdr:ext cx="5581650" cy="3143250"/>
    <xdr:pic>
      <xdr:nvPicPr>
        <xdr:cNvPr id="0" name="image4.jpg" title="Immagin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390525</xdr:colOff>
      <xdr:row>7</xdr:row>
      <xdr:rowOff>114300</xdr:rowOff>
    </xdr:from>
    <xdr:ext cx="9629775" cy="5924550"/>
    <xdr:graphicFrame>
      <xdr:nvGraphicFramePr>
        <xdr:cNvPr id="13" name="Chart 13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904875</xdr:colOff>
      <xdr:row>1</xdr:row>
      <xdr:rowOff>276225</xdr:rowOff>
    </xdr:from>
    <xdr:ext cx="2390775" cy="1104900"/>
    <xdr:pic>
      <xdr:nvPicPr>
        <xdr:cNvPr id="937110013" name="Chart14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609600</xdr:colOff>
      <xdr:row>1</xdr:row>
      <xdr:rowOff>276225</xdr:rowOff>
    </xdr:from>
    <xdr:ext cx="2390775" cy="1104900"/>
    <xdr:pic>
      <xdr:nvPicPr>
        <xdr:cNvPr id="1670238718" name="Chart15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923925</xdr:colOff>
      <xdr:row>1</xdr:row>
      <xdr:rowOff>276225</xdr:rowOff>
    </xdr:from>
    <xdr:ext cx="3705225" cy="1104900"/>
    <xdr:pic>
      <xdr:nvPicPr>
        <xdr:cNvPr id="1416565297" name="Chart16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942975</xdr:colOff>
      <xdr:row>0</xdr:row>
      <xdr:rowOff>0</xdr:rowOff>
    </xdr:from>
    <xdr:ext cx="5648325" cy="3143250"/>
    <xdr:pic>
      <xdr:nvPicPr>
        <xdr:cNvPr id="0" name="image3.jpg" title="Immagin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390525</xdr:colOff>
      <xdr:row>7</xdr:row>
      <xdr:rowOff>114300</xdr:rowOff>
    </xdr:from>
    <xdr:ext cx="9629775" cy="5924550"/>
    <xdr:graphicFrame>
      <xdr:nvGraphicFramePr>
        <xdr:cNvPr id="17" name="Chart 17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904875</xdr:colOff>
      <xdr:row>1</xdr:row>
      <xdr:rowOff>276225</xdr:rowOff>
    </xdr:from>
    <xdr:ext cx="2390775" cy="1104900"/>
    <xdr:pic>
      <xdr:nvPicPr>
        <xdr:cNvPr id="363454380" name="Chart18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609600</xdr:colOff>
      <xdr:row>1</xdr:row>
      <xdr:rowOff>276225</xdr:rowOff>
    </xdr:from>
    <xdr:ext cx="2390775" cy="1104900"/>
    <xdr:pic>
      <xdr:nvPicPr>
        <xdr:cNvPr id="1842414956" name="Chart19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923925</xdr:colOff>
      <xdr:row>1</xdr:row>
      <xdr:rowOff>276225</xdr:rowOff>
    </xdr:from>
    <xdr:ext cx="3705225" cy="1104900"/>
    <xdr:pic>
      <xdr:nvPicPr>
        <xdr:cNvPr id="942839736" name="Chart20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952500</xdr:colOff>
      <xdr:row>0</xdr:row>
      <xdr:rowOff>0</xdr:rowOff>
    </xdr:from>
    <xdr:ext cx="5657850" cy="3143250"/>
    <xdr:pic>
      <xdr:nvPicPr>
        <xdr:cNvPr id="0" name="image6.jpg" title="Immagin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390525</xdr:colOff>
      <xdr:row>7</xdr:row>
      <xdr:rowOff>114300</xdr:rowOff>
    </xdr:from>
    <xdr:ext cx="9629775" cy="5924550"/>
    <xdr:graphicFrame>
      <xdr:nvGraphicFramePr>
        <xdr:cNvPr id="21" name="Chart 2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904875</xdr:colOff>
      <xdr:row>1</xdr:row>
      <xdr:rowOff>276225</xdr:rowOff>
    </xdr:from>
    <xdr:ext cx="2390775" cy="1104900"/>
    <xdr:pic>
      <xdr:nvPicPr>
        <xdr:cNvPr id="1433953990" name="Chart22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609600</xdr:colOff>
      <xdr:row>1</xdr:row>
      <xdr:rowOff>276225</xdr:rowOff>
    </xdr:from>
    <xdr:ext cx="2390775" cy="1104900"/>
    <xdr:pic>
      <xdr:nvPicPr>
        <xdr:cNvPr id="1918965371" name="Chart23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923925</xdr:colOff>
      <xdr:row>1</xdr:row>
      <xdr:rowOff>276225</xdr:rowOff>
    </xdr:from>
    <xdr:ext cx="3705225" cy="1104900"/>
    <xdr:pic>
      <xdr:nvPicPr>
        <xdr:cNvPr id="1480580118" name="Chart24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952500</xdr:colOff>
      <xdr:row>0</xdr:row>
      <xdr:rowOff>0</xdr:rowOff>
    </xdr:from>
    <xdr:ext cx="5657850" cy="3143250"/>
    <xdr:pic>
      <xdr:nvPicPr>
        <xdr:cNvPr id="0" name="image5.jpg" title="Immagin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390525</xdr:colOff>
      <xdr:row>7</xdr:row>
      <xdr:rowOff>114300</xdr:rowOff>
    </xdr:from>
    <xdr:ext cx="9629775" cy="5924550"/>
    <xdr:graphicFrame>
      <xdr:nvGraphicFramePr>
        <xdr:cNvPr id="25" name="Chart 25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904875</xdr:colOff>
      <xdr:row>1</xdr:row>
      <xdr:rowOff>276225</xdr:rowOff>
    </xdr:from>
    <xdr:ext cx="2390775" cy="1104900"/>
    <xdr:pic>
      <xdr:nvPicPr>
        <xdr:cNvPr id="204283818" name="Chart26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609600</xdr:colOff>
      <xdr:row>1</xdr:row>
      <xdr:rowOff>276225</xdr:rowOff>
    </xdr:from>
    <xdr:ext cx="2390775" cy="1104900"/>
    <xdr:pic>
      <xdr:nvPicPr>
        <xdr:cNvPr id="1400670779" name="Chart27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923925</xdr:colOff>
      <xdr:row>1</xdr:row>
      <xdr:rowOff>276225</xdr:rowOff>
    </xdr:from>
    <xdr:ext cx="3705225" cy="1104900"/>
    <xdr:pic>
      <xdr:nvPicPr>
        <xdr:cNvPr id="471674362" name="Chart28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952500</xdr:colOff>
      <xdr:row>0</xdr:row>
      <xdr:rowOff>0</xdr:rowOff>
    </xdr:from>
    <xdr:ext cx="5648325" cy="3143250"/>
    <xdr:pic>
      <xdr:nvPicPr>
        <xdr:cNvPr id="0" name="image8.jpg" title="Immagin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390525</xdr:colOff>
      <xdr:row>7</xdr:row>
      <xdr:rowOff>114300</xdr:rowOff>
    </xdr:from>
    <xdr:ext cx="9629775" cy="5924550"/>
    <xdr:graphicFrame>
      <xdr:nvGraphicFramePr>
        <xdr:cNvPr id="29" name="Chart 29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904875</xdr:colOff>
      <xdr:row>1</xdr:row>
      <xdr:rowOff>276225</xdr:rowOff>
    </xdr:from>
    <xdr:ext cx="2390775" cy="1104900"/>
    <xdr:pic>
      <xdr:nvPicPr>
        <xdr:cNvPr id="1460769285" name="Chart30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609600</xdr:colOff>
      <xdr:row>1</xdr:row>
      <xdr:rowOff>276225</xdr:rowOff>
    </xdr:from>
    <xdr:ext cx="2390775" cy="1104900"/>
    <xdr:pic>
      <xdr:nvPicPr>
        <xdr:cNvPr id="863575569" name="Chart31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923925</xdr:colOff>
      <xdr:row>1</xdr:row>
      <xdr:rowOff>276225</xdr:rowOff>
    </xdr:from>
    <xdr:ext cx="3705225" cy="1104900"/>
    <xdr:pic>
      <xdr:nvPicPr>
        <xdr:cNvPr id="1958961426" name="Chart32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942975</xdr:colOff>
      <xdr:row>0</xdr:row>
      <xdr:rowOff>0</xdr:rowOff>
    </xdr:from>
    <xdr:ext cx="5657850" cy="3143250"/>
    <xdr:pic>
      <xdr:nvPicPr>
        <xdr:cNvPr id="0" name="image7.jpg" title="Immagin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390525</xdr:colOff>
      <xdr:row>7</xdr:row>
      <xdr:rowOff>114300</xdr:rowOff>
    </xdr:from>
    <xdr:ext cx="9629775" cy="5924550"/>
    <xdr:graphicFrame>
      <xdr:nvGraphicFramePr>
        <xdr:cNvPr id="33" name="Chart 33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904875</xdr:colOff>
      <xdr:row>1</xdr:row>
      <xdr:rowOff>276225</xdr:rowOff>
    </xdr:from>
    <xdr:ext cx="2390775" cy="1104900"/>
    <xdr:pic>
      <xdr:nvPicPr>
        <xdr:cNvPr id="44100668" name="Chart34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609600</xdr:colOff>
      <xdr:row>1</xdr:row>
      <xdr:rowOff>276225</xdr:rowOff>
    </xdr:from>
    <xdr:ext cx="2390775" cy="1104900"/>
    <xdr:pic>
      <xdr:nvPicPr>
        <xdr:cNvPr id="1240150707" name="Chart35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923925</xdr:colOff>
      <xdr:row>1</xdr:row>
      <xdr:rowOff>276225</xdr:rowOff>
    </xdr:from>
    <xdr:ext cx="3705225" cy="1104900"/>
    <xdr:pic>
      <xdr:nvPicPr>
        <xdr:cNvPr id="1191640611" name="Chart36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962025</xdr:colOff>
      <xdr:row>0</xdr:row>
      <xdr:rowOff>0</xdr:rowOff>
    </xdr:from>
    <xdr:ext cx="5629275" cy="3143250"/>
    <xdr:pic>
      <xdr:nvPicPr>
        <xdr:cNvPr id="0" name="image9.jpg" title="Immagin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390525</xdr:colOff>
      <xdr:row>7</xdr:row>
      <xdr:rowOff>114300</xdr:rowOff>
    </xdr:from>
    <xdr:ext cx="9629775" cy="5924550"/>
    <xdr:graphicFrame>
      <xdr:nvGraphicFramePr>
        <xdr:cNvPr id="37" name="Chart 37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904875</xdr:colOff>
      <xdr:row>1</xdr:row>
      <xdr:rowOff>276225</xdr:rowOff>
    </xdr:from>
    <xdr:ext cx="2390775" cy="1104900"/>
    <xdr:pic>
      <xdr:nvPicPr>
        <xdr:cNvPr id="1929168284" name="Chart38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609600</xdr:colOff>
      <xdr:row>1</xdr:row>
      <xdr:rowOff>276225</xdr:rowOff>
    </xdr:from>
    <xdr:ext cx="2390775" cy="1104900"/>
    <xdr:pic>
      <xdr:nvPicPr>
        <xdr:cNvPr id="1359538909" name="Chart39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923925</xdr:colOff>
      <xdr:row>1</xdr:row>
      <xdr:rowOff>276225</xdr:rowOff>
    </xdr:from>
    <xdr:ext cx="3705225" cy="1104900"/>
    <xdr:pic>
      <xdr:nvPicPr>
        <xdr:cNvPr id="710398751" name="Chart40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952500</xdr:colOff>
      <xdr:row>0</xdr:row>
      <xdr:rowOff>0</xdr:rowOff>
    </xdr:from>
    <xdr:ext cx="5562600" cy="3143250"/>
    <xdr:pic>
      <xdr:nvPicPr>
        <xdr:cNvPr id="0" name="image10.jpg" title="Immagin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390525</xdr:colOff>
      <xdr:row>7</xdr:row>
      <xdr:rowOff>114300</xdr:rowOff>
    </xdr:from>
    <xdr:ext cx="9629775" cy="5924550"/>
    <xdr:graphicFrame>
      <xdr:nvGraphicFramePr>
        <xdr:cNvPr id="41" name="Chart 4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904875</xdr:colOff>
      <xdr:row>1</xdr:row>
      <xdr:rowOff>276225</xdr:rowOff>
    </xdr:from>
    <xdr:ext cx="2390775" cy="1104900"/>
    <xdr:pic>
      <xdr:nvPicPr>
        <xdr:cNvPr id="1315445844" name="Chart42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609600</xdr:colOff>
      <xdr:row>1</xdr:row>
      <xdr:rowOff>276225</xdr:rowOff>
    </xdr:from>
    <xdr:ext cx="2390775" cy="1104900"/>
    <xdr:pic>
      <xdr:nvPicPr>
        <xdr:cNvPr id="534693495" name="Chart43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923925</xdr:colOff>
      <xdr:row>1</xdr:row>
      <xdr:rowOff>276225</xdr:rowOff>
    </xdr:from>
    <xdr:ext cx="3705225" cy="1104900"/>
    <xdr:pic>
      <xdr:nvPicPr>
        <xdr:cNvPr id="2071950280" name="Chart44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942975</xdr:colOff>
      <xdr:row>0</xdr:row>
      <xdr:rowOff>0</xdr:rowOff>
    </xdr:from>
    <xdr:ext cx="5648325" cy="3143250"/>
    <xdr:pic>
      <xdr:nvPicPr>
        <xdr:cNvPr id="0" name="image11.jpg" title="Immagin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390525</xdr:colOff>
      <xdr:row>7</xdr:row>
      <xdr:rowOff>123825</xdr:rowOff>
    </xdr:from>
    <xdr:ext cx="9629775" cy="5924550"/>
    <xdr:graphicFrame>
      <xdr:nvGraphicFramePr>
        <xdr:cNvPr id="45" name="Chart 45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904875</xdr:colOff>
      <xdr:row>1</xdr:row>
      <xdr:rowOff>276225</xdr:rowOff>
    </xdr:from>
    <xdr:ext cx="2390775" cy="1104900"/>
    <xdr:pic>
      <xdr:nvPicPr>
        <xdr:cNvPr id="1643762344" name="Chart46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609600</xdr:colOff>
      <xdr:row>1</xdr:row>
      <xdr:rowOff>276225</xdr:rowOff>
    </xdr:from>
    <xdr:ext cx="2390775" cy="1104900"/>
    <xdr:pic>
      <xdr:nvPicPr>
        <xdr:cNvPr id="1395051228" name="Chart47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923925</xdr:colOff>
      <xdr:row>1</xdr:row>
      <xdr:rowOff>276225</xdr:rowOff>
    </xdr:from>
    <xdr:ext cx="3705225" cy="1104900"/>
    <xdr:pic>
      <xdr:nvPicPr>
        <xdr:cNvPr id="403242210" name="Chart48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962025</xdr:colOff>
      <xdr:row>0</xdr:row>
      <xdr:rowOff>0</xdr:rowOff>
    </xdr:from>
    <xdr:ext cx="5638800" cy="3152775"/>
    <xdr:pic>
      <xdr:nvPicPr>
        <xdr:cNvPr id="0" name="image12.jpg" title="Immagin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323850</xdr:colOff>
      <xdr:row>7</xdr:row>
      <xdr:rowOff>123825</xdr:rowOff>
    </xdr:from>
    <xdr:ext cx="9629775" cy="5924550"/>
    <xdr:graphicFrame>
      <xdr:nvGraphicFramePr>
        <xdr:cNvPr id="49" name="Chart 49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904875</xdr:colOff>
      <xdr:row>1</xdr:row>
      <xdr:rowOff>276225</xdr:rowOff>
    </xdr:from>
    <xdr:ext cx="2390775" cy="1104900"/>
    <xdr:pic>
      <xdr:nvPicPr>
        <xdr:cNvPr id="676921583" name="Chart50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609600</xdr:colOff>
      <xdr:row>1</xdr:row>
      <xdr:rowOff>276225</xdr:rowOff>
    </xdr:from>
    <xdr:ext cx="2390775" cy="1104900"/>
    <xdr:pic>
      <xdr:nvPicPr>
        <xdr:cNvPr id="1287694450" name="Chart51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923925</xdr:colOff>
      <xdr:row>1</xdr:row>
      <xdr:rowOff>276225</xdr:rowOff>
    </xdr:from>
    <xdr:ext cx="3705225" cy="1104900"/>
    <xdr:pic>
      <xdr:nvPicPr>
        <xdr:cNvPr id="861105207" name="Chart52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962025</xdr:colOff>
      <xdr:row>0</xdr:row>
      <xdr:rowOff>0</xdr:rowOff>
    </xdr:from>
    <xdr:ext cx="5572125" cy="3152775"/>
    <xdr:pic>
      <xdr:nvPicPr>
        <xdr:cNvPr id="0" name="image13.jpg" title="Immagin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390525</xdr:colOff>
      <xdr:row>7</xdr:row>
      <xdr:rowOff>114300</xdr:rowOff>
    </xdr:from>
    <xdr:ext cx="9629775" cy="5924550"/>
    <xdr:graphicFrame>
      <xdr:nvGraphicFramePr>
        <xdr:cNvPr id="53" name="Chart 53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904875</xdr:colOff>
      <xdr:row>1</xdr:row>
      <xdr:rowOff>276225</xdr:rowOff>
    </xdr:from>
    <xdr:ext cx="2390775" cy="1104900"/>
    <xdr:pic>
      <xdr:nvPicPr>
        <xdr:cNvPr id="475713889" name="Chart54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609600</xdr:colOff>
      <xdr:row>1</xdr:row>
      <xdr:rowOff>276225</xdr:rowOff>
    </xdr:from>
    <xdr:ext cx="2390775" cy="1104900"/>
    <xdr:pic>
      <xdr:nvPicPr>
        <xdr:cNvPr id="563439898" name="Chart55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923925</xdr:colOff>
      <xdr:row>1</xdr:row>
      <xdr:rowOff>276225</xdr:rowOff>
    </xdr:from>
    <xdr:ext cx="3705225" cy="1104900"/>
    <xdr:pic>
      <xdr:nvPicPr>
        <xdr:cNvPr id="1328388731" name="Chart56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952500</xdr:colOff>
      <xdr:row>0</xdr:row>
      <xdr:rowOff>0</xdr:rowOff>
    </xdr:from>
    <xdr:ext cx="5572125" cy="3143250"/>
    <xdr:pic>
      <xdr:nvPicPr>
        <xdr:cNvPr id="0" name="image14.jpg" title="Immagin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180975</xdr:rowOff>
    </xdr:from>
    <xdr:ext cx="4562475" cy="990600"/>
    <xdr:pic>
      <xdr:nvPicPr>
        <xdr:cNvPr id="387280603" name="Chart57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590550</xdr:colOff>
      <xdr:row>0</xdr:row>
      <xdr:rowOff>276225</xdr:rowOff>
    </xdr:from>
    <xdr:ext cx="6467475" cy="3771900"/>
    <xdr:pic>
      <xdr:nvPicPr>
        <xdr:cNvPr id="516584857" name="Chart58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285750</xdr:colOff>
      <xdr:row>36</xdr:row>
      <xdr:rowOff>66675</xdr:rowOff>
    </xdr:from>
    <xdr:ext cx="7162800" cy="4495800"/>
    <xdr:graphicFrame>
      <xdr:nvGraphicFramePr>
        <xdr:cNvPr id="59" name="Chart 59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29</xdr:row>
      <xdr:rowOff>0</xdr:rowOff>
    </xdr:from>
    <xdr:ext cx="9934575" cy="5981700"/>
    <xdr:graphicFrame>
      <xdr:nvGraphicFramePr>
        <xdr:cNvPr id="60" name="Chart 60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1714500</xdr:colOff>
      <xdr:row>20</xdr:row>
      <xdr:rowOff>180975</xdr:rowOff>
    </xdr:from>
    <xdr:ext cx="4562475" cy="990600"/>
    <xdr:pic>
      <xdr:nvPicPr>
        <xdr:cNvPr id="1093835302" name="Chart61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590550</xdr:colOff>
      <xdr:row>16</xdr:row>
      <xdr:rowOff>142875</xdr:rowOff>
    </xdr:from>
    <xdr:ext cx="6467475" cy="4010025"/>
    <xdr:graphicFrame>
      <xdr:nvGraphicFramePr>
        <xdr:cNvPr id="62" name="Chart 6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571500</xdr:colOff>
      <xdr:row>0</xdr:row>
      <xdr:rowOff>0</xdr:rowOff>
    </xdr:from>
    <xdr:ext cx="8239125" cy="5095875"/>
    <xdr:graphicFrame>
      <xdr:nvGraphicFramePr>
        <xdr:cNvPr id="63" name="Chart 63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18</xdr:row>
      <xdr:rowOff>9525</xdr:rowOff>
    </xdr:from>
    <xdr:ext cx="4038600" cy="2495550"/>
    <xdr:pic>
      <xdr:nvPicPr>
        <xdr:cNvPr id="863158431" name="Chart64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952500</xdr:colOff>
      <xdr:row>1</xdr:row>
      <xdr:rowOff>9525</xdr:rowOff>
    </xdr:from>
    <xdr:ext cx="6819900" cy="4219575"/>
    <xdr:graphicFrame>
      <xdr:nvGraphicFramePr>
        <xdr:cNvPr id="65" name="Chart 65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962025</xdr:colOff>
      <xdr:row>0</xdr:row>
      <xdr:rowOff>276225</xdr:rowOff>
    </xdr:from>
    <xdr:ext cx="7591425" cy="4705350"/>
    <xdr:graphicFrame>
      <xdr:nvGraphicFramePr>
        <xdr:cNvPr id="66" name="Chart 66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80" displayName="Lista_Movimenti" name="Lista_Movimenti" id="1">
  <autoFilter ref="$A$1:$E$380"/>
  <tableColumns count="5">
    <tableColumn name="Nome" id="1"/>
    <tableColumn name="Categoria" id="2"/>
    <tableColumn name="Importo" id="3"/>
    <tableColumn name="Data" id="4"/>
    <tableColumn name="Tipo" id="5"/>
  </tableColumns>
  <tableStyleInfo name="Lista Movimenti-style" showColumnStripes="0" showFirstColumn="1" showLastColumn="1" showRowStripes="1"/>
</table>
</file>

<file path=xl/tables/table2.xml><?xml version="1.0" encoding="utf-8"?>
<table xmlns="http://schemas.openxmlformats.org/spreadsheetml/2006/main" totalsRowCount="1" ref="A3:P8" displayName="Entrate_Anno" name="Entrate_Anno" id="2">
  <tableColumns count="16">
    <tableColumn totalsRowLabel="Totale Entrate" name="Categoria" id="1"/>
    <tableColumn totalsRowFunction="custom" name="Gennaio" id="2"/>
    <tableColumn totalsRowFunction="custom" name="Febbraio" id="3"/>
    <tableColumn totalsRowFunction="custom" name="Marzo" id="4"/>
    <tableColumn totalsRowFunction="custom" name="Aprile" id="5"/>
    <tableColumn totalsRowFunction="custom" name="Maggio" id="6"/>
    <tableColumn totalsRowFunction="custom" name="Giugno" id="7"/>
    <tableColumn totalsRowFunction="custom" name="Luglio" id="8"/>
    <tableColumn totalsRowFunction="custom" name="Agosto" id="9"/>
    <tableColumn totalsRowFunction="custom" name="Settembre" id="10"/>
    <tableColumn totalsRowFunction="custom" name="Ottobre" id="11"/>
    <tableColumn totalsRowFunction="custom" name="Novembre" id="12"/>
    <tableColumn totalsRowFunction="custom" name="Dicembre" id="13"/>
    <tableColumn totalsRowFunction="custom" name="Media" id="14"/>
    <tableColumn name="Obiettivo" id="15"/>
    <tableColumn totalsRowFunction="custom" name="Totale Annuo" id="16"/>
  </tableColumns>
  <tableStyleInfo name="ANNO-style" showColumnStripes="0" showFirstColumn="1" showLastColumn="1" showRowStripes="1"/>
</table>
</file>

<file path=xl/tables/table3.xml><?xml version="1.0" encoding="utf-8"?>
<table xmlns="http://schemas.openxmlformats.org/spreadsheetml/2006/main" ref="A12:Q34" displayName="Uscite_Anno" name="Uscite_Anno" id="3">
  <tableColumns count="17">
    <tableColumn name="Necessita" id="1"/>
    <tableColumn name="Categoria" id="2"/>
    <tableColumn name="Gennaio" id="3"/>
    <tableColumn name="Febbraio" id="4"/>
    <tableColumn name="Marzo" id="5"/>
    <tableColumn name="Aprile" id="6"/>
    <tableColumn name="Maggio" id="7"/>
    <tableColumn name="Giugno" id="8"/>
    <tableColumn name="Luglio" id="9"/>
    <tableColumn name="Agosto" id="10"/>
    <tableColumn name="Settembre" id="11"/>
    <tableColumn name="Ottobre" id="12"/>
    <tableColumn name="Novembre" id="13"/>
    <tableColumn name="Dicembre" id="14"/>
    <tableColumn name="Media" id="15"/>
    <tableColumn name="Obiettivo" id="16"/>
    <tableColumn name="Totale Annuo" id="17"/>
  </tableColumns>
  <tableStyleInfo name="ANNO-style 2" showColumnStripes="0" showFirstColumn="1" showLastColumn="1" showRowStripes="1"/>
</table>
</file>

<file path=xl/tables/table4.xml><?xml version="1.0" encoding="utf-8"?>
<table xmlns="http://schemas.openxmlformats.org/spreadsheetml/2006/main" totalsRowCount="1" ref="A37:O55" displayName="Risparmi_Anno" name="Risparmi_Anno" id="4">
  <tableColumns count="15">
    <tableColumn totalsRowLabel="Totale Risparmi" name="Categoria" id="1"/>
    <tableColumn totalsRowFunction="custom" name="Gennaio" id="2"/>
    <tableColumn totalsRowFunction="custom" name="Febbraio" id="3"/>
    <tableColumn totalsRowFunction="custom" name="Marzo" id="4"/>
    <tableColumn totalsRowFunction="custom" name="Aprile" id="5"/>
    <tableColumn totalsRowFunction="custom" name="Maggio" id="6"/>
    <tableColumn totalsRowFunction="custom" name="Giugno" id="7"/>
    <tableColumn totalsRowFunction="custom" name="Luglio" id="8"/>
    <tableColumn totalsRowFunction="custom" name="Agosto" id="9"/>
    <tableColumn totalsRowFunction="custom" name="Settembre" id="10"/>
    <tableColumn totalsRowFunction="custom" name="Ottobre" id="11"/>
    <tableColumn totalsRowFunction="custom" name="Novembre" id="12"/>
    <tableColumn totalsRowFunction="custom" name="Dicembre" id="13"/>
    <tableColumn totalsRowFunction="custom" name="Media" id="14"/>
    <tableColumn totalsRowFunction="custom" name="Obiettivo" id="15"/>
  </tableColumns>
  <tableStyleInfo name="ANNO-style 3" showColumnStripes="0" showFirstColumn="1" showLastColumn="1" showRowStripes="1"/>
</table>
</file>

<file path=xl/tables/table5.xml><?xml version="1.0" encoding="utf-8"?>
<table xmlns="http://schemas.openxmlformats.org/spreadsheetml/2006/main" totalsRowCount="1" ref="A3:C8" displayName="Entrate_Gen" name="Entrate_Gen" id="5">
  <tableColumns count="3">
    <tableColumn name="Categoria" id="1"/>
    <tableColumn totalsRowFunction="custom" name="Totale" id="2"/>
    <tableColumn totalsRowFunction="custom" name="Obiettivo" id="3"/>
  </tableColumns>
  <tableStyleInfo name="Gen-style" showColumnStripes="0" showFirstColumn="1" showLastColumn="1" showRowStripes="1"/>
</table>
</file>

<file path=xl/tables/table6.xml><?xml version="1.0" encoding="utf-8"?>
<table xmlns="http://schemas.openxmlformats.org/spreadsheetml/2006/main" ref="A12:D34" displayName="Uscite_Gen" name="Uscite_Gen" id="6">
  <tableColumns count="4">
    <tableColumn name="Necessita" id="1"/>
    <tableColumn name="Categoria" id="2"/>
    <tableColumn name="Totale" id="3"/>
    <tableColumn name="Obiettivo" id="4"/>
  </tableColumns>
  <tableStyleInfo name="Gen-style 2" showColumnStripes="0" showFirstColumn="1" showLastColumn="1" showRowStripes="1"/>
</table>
</file>

<file path=xl/tables/table7.xml><?xml version="1.0" encoding="utf-8"?>
<table xmlns="http://schemas.openxmlformats.org/spreadsheetml/2006/main" totalsRowCount="1" ref="A37:C55" displayName="Risparmi" name="Risparmi" id="7">
  <tableColumns count="3">
    <tableColumn totalsRowLabel="Totale Risparmi" name="Categoria" id="1"/>
    <tableColumn totalsRowFunction="custom" name="Totale" id="2"/>
    <tableColumn totalsRowFunction="custom" name="Obiettivo" id="3"/>
  </tableColumns>
  <tableStyleInfo name="Gen-style 3" showColumnStripes="0" showFirstColumn="1" showLastColumn="1" showRowStripes="1"/>
</table>
</file>

<file path=xl/tables/table8.xml><?xml version="1.0" encoding="utf-8"?>
<table xmlns="http://schemas.openxmlformats.org/spreadsheetml/2006/main" totalsRowCount="1" ref="A3:C8" displayName="Entrate_Feb" name="Entrate_Feb" id="8">
  <tableColumns count="3">
    <tableColumn name="Categoria" id="1"/>
    <tableColumn totalsRowFunction="custom" name="Totale" id="2"/>
    <tableColumn totalsRowFunction="custom" name="Obiettivo" id="3"/>
  </tableColumns>
  <tableStyleInfo name="Feb-style" showColumnStripes="0" showFirstColumn="1" showLastColumn="1" showRowStripes="1"/>
</table>
</file>

<file path=xl/tables/table9.xml><?xml version="1.0" encoding="utf-8"?>
<table xmlns="http://schemas.openxmlformats.org/spreadsheetml/2006/main" ref="A12:D34" displayName="Uscite_Feb" name="Uscite_Feb" id="9">
  <tableColumns count="4">
    <tableColumn name="Necessita" id="1"/>
    <tableColumn name="Categoria" id="2"/>
    <tableColumn name="Totale" id="3"/>
    <tableColumn name="Obiettivo" id="4"/>
  </tableColumns>
  <tableStyleInfo name="Feb-style 2" showColumnStripes="0" showFirstColumn="1" showLastColumn="1" showRowStripes="1"/>
</table>
</file>

<file path=xl/tables/table10.xml><?xml version="1.0" encoding="utf-8"?>
<table xmlns="http://schemas.openxmlformats.org/spreadsheetml/2006/main" totalsRowCount="1" ref="A37:C55" displayName="Risparmi_2" name="Risparmi_2" id="10">
  <tableColumns count="3">
    <tableColumn totalsRowLabel="Totale Risparmi" name="Categoria" id="1"/>
    <tableColumn totalsRowFunction="custom" name="Totale" id="2"/>
    <tableColumn totalsRowFunction="custom" name="Obiettivo" id="3"/>
  </tableColumns>
  <tableStyleInfo name="Feb-style 3" showColumnStripes="0" showFirstColumn="1" showLastColumn="1" showRowStripes="1"/>
</table>
</file>

<file path=xl/tables/table11.xml><?xml version="1.0" encoding="utf-8"?>
<table xmlns="http://schemas.openxmlformats.org/spreadsheetml/2006/main" totalsRowCount="1" ref="A3:C8" displayName="Entrate_Mar" name="Entrate_Mar" id="11">
  <tableColumns count="3">
    <tableColumn name="Categoria" id="1"/>
    <tableColumn totalsRowFunction="custom" name="Totale" id="2"/>
    <tableColumn totalsRowFunction="custom" name="Obiettivo" id="3"/>
  </tableColumns>
  <tableStyleInfo name="Mar-style" showColumnStripes="0" showFirstColumn="1" showLastColumn="1" showRowStripes="1"/>
</table>
</file>

<file path=xl/tables/table12.xml><?xml version="1.0" encoding="utf-8"?>
<table xmlns="http://schemas.openxmlformats.org/spreadsheetml/2006/main" ref="A12:D34" displayName="Uscite_Mar" name="Uscite_Mar" id="12">
  <tableColumns count="4">
    <tableColumn name="Necessita" id="1"/>
    <tableColumn name="Categoria" id="2"/>
    <tableColumn name="Totale" id="3"/>
    <tableColumn name="Obiettivo" id="4"/>
  </tableColumns>
  <tableStyleInfo name="Mar-style 2" showColumnStripes="0" showFirstColumn="1" showLastColumn="1" showRowStripes="1"/>
</table>
</file>

<file path=xl/tables/table13.xml><?xml version="1.0" encoding="utf-8"?>
<table xmlns="http://schemas.openxmlformats.org/spreadsheetml/2006/main" totalsRowCount="1" ref="A37:C55" displayName="Risparmi_3" name="Risparmi_3" id="13">
  <tableColumns count="3">
    <tableColumn totalsRowLabel="Totale Risparmi" name="Categoria" id="1"/>
    <tableColumn totalsRowFunction="custom" name="Totale" id="2"/>
    <tableColumn totalsRowFunction="custom" name="Obiettivo" id="3"/>
  </tableColumns>
  <tableStyleInfo name="Mar-style 3" showColumnStripes="0" showFirstColumn="1" showLastColumn="1" showRowStripes="1"/>
</table>
</file>

<file path=xl/tables/table14.xml><?xml version="1.0" encoding="utf-8"?>
<table xmlns="http://schemas.openxmlformats.org/spreadsheetml/2006/main" totalsRowCount="1" ref="A3:C8" displayName="Entrate_Apr" name="Entrate_Apr" id="14">
  <tableColumns count="3">
    <tableColumn name="Categoria" id="1"/>
    <tableColumn totalsRowFunction="custom" name="Totale" id="2"/>
    <tableColumn totalsRowFunction="custom" name="Obiettivo" id="3"/>
  </tableColumns>
  <tableStyleInfo name="Apr-style" showColumnStripes="0" showFirstColumn="1" showLastColumn="1" showRowStripes="1"/>
</table>
</file>

<file path=xl/tables/table15.xml><?xml version="1.0" encoding="utf-8"?>
<table xmlns="http://schemas.openxmlformats.org/spreadsheetml/2006/main" ref="A12:D34" displayName="Uscite_Apr" name="Uscite_Apr" id="15">
  <tableColumns count="4">
    <tableColumn name="Necessita" id="1"/>
    <tableColumn name="Categoria" id="2"/>
    <tableColumn name="Totale" id="3"/>
    <tableColumn name="Obiettivo" id="4"/>
  </tableColumns>
  <tableStyleInfo name="Apr-style 2" showColumnStripes="0" showFirstColumn="1" showLastColumn="1" showRowStripes="1"/>
</table>
</file>

<file path=xl/tables/table16.xml><?xml version="1.0" encoding="utf-8"?>
<table xmlns="http://schemas.openxmlformats.org/spreadsheetml/2006/main" totalsRowCount="1" ref="A37:C55" displayName="Risparmi_5" name="Risparmi_5" id="16">
  <tableColumns count="3">
    <tableColumn totalsRowLabel="Totale Risparmi" name="Categoria" id="1"/>
    <tableColumn totalsRowFunction="custom" name="Totale" id="2"/>
    <tableColumn totalsRowFunction="custom" name="Obiettivo" id="3"/>
  </tableColumns>
  <tableStyleInfo name="Apr-style 3" showColumnStripes="0" showFirstColumn="1" showLastColumn="1" showRowStripes="1"/>
</table>
</file>

<file path=xl/tables/table17.xml><?xml version="1.0" encoding="utf-8"?>
<table xmlns="http://schemas.openxmlformats.org/spreadsheetml/2006/main" totalsRowCount="1" ref="A3:C8" displayName="Entrate_Mag" name="Entrate_Mag" id="17">
  <tableColumns count="3">
    <tableColumn name="Categoria" id="1"/>
    <tableColumn totalsRowFunction="custom" name="Totale" id="2"/>
    <tableColumn totalsRowFunction="custom" name="Obiettivo" id="3"/>
  </tableColumns>
  <tableStyleInfo name="Mag-style" showColumnStripes="0" showFirstColumn="1" showLastColumn="1" showRowStripes="1"/>
</table>
</file>

<file path=xl/tables/table18.xml><?xml version="1.0" encoding="utf-8"?>
<table xmlns="http://schemas.openxmlformats.org/spreadsheetml/2006/main" ref="A12:D34" displayName="Uscite_Mag" name="Uscite_Mag" id="18">
  <tableColumns count="4">
    <tableColumn name="Necessita" id="1"/>
    <tableColumn name="Categoria" id="2"/>
    <tableColumn name="Totale" id="3"/>
    <tableColumn name="Obiettivo" id="4"/>
  </tableColumns>
  <tableStyleInfo name="Mag-style 2" showColumnStripes="0" showFirstColumn="1" showLastColumn="1" showRowStripes="1"/>
</table>
</file>

<file path=xl/tables/table19.xml><?xml version="1.0" encoding="utf-8"?>
<table xmlns="http://schemas.openxmlformats.org/spreadsheetml/2006/main" totalsRowCount="1" ref="A37:C55" displayName="Risparmi_4" name="Risparmi_4" id="19">
  <tableColumns count="3">
    <tableColumn totalsRowLabel="Totale Risparmi" name="Categoria" id="1"/>
    <tableColumn totalsRowFunction="custom" name="Totale" id="2"/>
    <tableColumn totalsRowFunction="custom" name="Obiettivo" id="3"/>
  </tableColumns>
  <tableStyleInfo name="Mag-style 3" showColumnStripes="0" showFirstColumn="1" showLastColumn="1" showRowStripes="1"/>
</table>
</file>

<file path=xl/tables/table20.xml><?xml version="1.0" encoding="utf-8"?>
<table xmlns="http://schemas.openxmlformats.org/spreadsheetml/2006/main" totalsRowCount="1" ref="A3:C8" displayName="Entrate_Giu" name="Entrate_Giu" id="20">
  <tableColumns count="3">
    <tableColumn name="Categoria" id="1"/>
    <tableColumn totalsRowFunction="custom" name="Totale" id="2"/>
    <tableColumn totalsRowFunction="custom" name="Obiettivo" id="3"/>
  </tableColumns>
  <tableStyleInfo name="Giu-style" showColumnStripes="0" showFirstColumn="1" showLastColumn="1" showRowStripes="1"/>
</table>
</file>

<file path=xl/tables/table21.xml><?xml version="1.0" encoding="utf-8"?>
<table xmlns="http://schemas.openxmlformats.org/spreadsheetml/2006/main" ref="A12:D34" displayName="Uscite_Giu" name="Uscite_Giu" id="21">
  <tableColumns count="4">
    <tableColumn name="Necessita" id="1"/>
    <tableColumn name="Categoria" id="2"/>
    <tableColumn name="Totale" id="3"/>
    <tableColumn name="Obiettivo" id="4"/>
  </tableColumns>
  <tableStyleInfo name="Giu-style 2" showColumnStripes="0" showFirstColumn="1" showLastColumn="1" showRowStripes="1"/>
</table>
</file>

<file path=xl/tables/table22.xml><?xml version="1.0" encoding="utf-8"?>
<table xmlns="http://schemas.openxmlformats.org/spreadsheetml/2006/main" totalsRowCount="1" ref="A37:C55" displayName="Risparmi_6" name="Risparmi_6" id="22">
  <tableColumns count="3">
    <tableColumn totalsRowLabel="Totale Risparmi" name="Categoria" id="1"/>
    <tableColumn totalsRowFunction="custom" name="Totale" id="2"/>
    <tableColumn totalsRowFunction="custom" name="Obiettivo" id="3"/>
  </tableColumns>
  <tableStyleInfo name="Giu-style 3" showColumnStripes="0" showFirstColumn="1" showLastColumn="1" showRowStripes="1"/>
</table>
</file>

<file path=xl/tables/table23.xml><?xml version="1.0" encoding="utf-8"?>
<table xmlns="http://schemas.openxmlformats.org/spreadsheetml/2006/main" totalsRowCount="1" ref="A3:C8" displayName="Entrate_Lug" name="Entrate_Lug" id="23">
  <tableColumns count="3">
    <tableColumn name="Categoria" id="1"/>
    <tableColumn totalsRowFunction="custom" name="Totale" id="2"/>
    <tableColumn totalsRowFunction="custom" name="Obiettivo" id="3"/>
  </tableColumns>
  <tableStyleInfo name="Lug-style" showColumnStripes="0" showFirstColumn="1" showLastColumn="1" showRowStripes="1"/>
</table>
</file>

<file path=xl/tables/table24.xml><?xml version="1.0" encoding="utf-8"?>
<table xmlns="http://schemas.openxmlformats.org/spreadsheetml/2006/main" ref="A12:D34" displayName="Uscite_Lug" name="Uscite_Lug" id="24">
  <tableColumns count="4">
    <tableColumn name="Necessita" id="1"/>
    <tableColumn name="Categoria" id="2"/>
    <tableColumn name="Totale" id="3"/>
    <tableColumn name="Obiettivo" id="4"/>
  </tableColumns>
  <tableStyleInfo name="Lug-style 2" showColumnStripes="0" showFirstColumn="1" showLastColumn="1" showRowStripes="1"/>
</table>
</file>

<file path=xl/tables/table25.xml><?xml version="1.0" encoding="utf-8"?>
<table xmlns="http://schemas.openxmlformats.org/spreadsheetml/2006/main" totalsRowCount="1" ref="A37:C55" displayName="Risparmi_7" name="Risparmi_7" id="25">
  <tableColumns count="3">
    <tableColumn totalsRowLabel="Totale Risparmi" name="Categoria" id="1"/>
    <tableColumn totalsRowFunction="custom" name="Totale" id="2"/>
    <tableColumn totalsRowFunction="custom" name="Obiettivo" id="3"/>
  </tableColumns>
  <tableStyleInfo name="Lug-style 3" showColumnStripes="0" showFirstColumn="1" showLastColumn="1" showRowStripes="1"/>
</table>
</file>

<file path=xl/tables/table26.xml><?xml version="1.0" encoding="utf-8"?>
<table xmlns="http://schemas.openxmlformats.org/spreadsheetml/2006/main" totalsRowCount="1" ref="A3:C8" displayName="Entrate_Ago" name="Entrate_Ago" id="26">
  <tableColumns count="3">
    <tableColumn name="Categoria" id="1"/>
    <tableColumn totalsRowFunction="custom" name="Totale" id="2"/>
    <tableColumn totalsRowFunction="custom" name="Obiettivo" id="3"/>
  </tableColumns>
  <tableStyleInfo name="Ago-style" showColumnStripes="0" showFirstColumn="1" showLastColumn="1" showRowStripes="1"/>
</table>
</file>

<file path=xl/tables/table27.xml><?xml version="1.0" encoding="utf-8"?>
<table xmlns="http://schemas.openxmlformats.org/spreadsheetml/2006/main" ref="A12:D34" displayName="Uscite_Ago" name="Uscite_Ago" id="27">
  <tableColumns count="4">
    <tableColumn name="Necessita" id="1"/>
    <tableColumn name="Categoria" id="2"/>
    <tableColumn name="Totale" id="3"/>
    <tableColumn name="Obiettivo" id="4"/>
  </tableColumns>
  <tableStyleInfo name="Ago-style 2" showColumnStripes="0" showFirstColumn="1" showLastColumn="1" showRowStripes="1"/>
</table>
</file>

<file path=xl/tables/table28.xml><?xml version="1.0" encoding="utf-8"?>
<table xmlns="http://schemas.openxmlformats.org/spreadsheetml/2006/main" totalsRowCount="1" ref="A37:C55" displayName="Risparmi_8" name="Risparmi_8" id="28">
  <tableColumns count="3">
    <tableColumn totalsRowLabel="Totale Risparmi" name="Categoria" id="1"/>
    <tableColumn totalsRowFunction="custom" name="Totale" id="2"/>
    <tableColumn totalsRowFunction="custom" name="Obiettivo" id="3"/>
  </tableColumns>
  <tableStyleInfo name="Ago-style 3" showColumnStripes="0" showFirstColumn="1" showLastColumn="1" showRowStripes="1"/>
</table>
</file>

<file path=xl/tables/table29.xml><?xml version="1.0" encoding="utf-8"?>
<table xmlns="http://schemas.openxmlformats.org/spreadsheetml/2006/main" totalsRowCount="1" ref="A3:C8" displayName="Entrate_Set" name="Entrate_Set" id="29">
  <tableColumns count="3">
    <tableColumn name="Categoria" id="1"/>
    <tableColumn totalsRowFunction="custom" name="Totale" id="2"/>
    <tableColumn totalsRowFunction="custom" name="Obiettivo" id="3"/>
  </tableColumns>
  <tableStyleInfo name="Set-style" showColumnStripes="0" showFirstColumn="1" showLastColumn="1" showRowStripes="1"/>
</table>
</file>

<file path=xl/tables/table30.xml><?xml version="1.0" encoding="utf-8"?>
<table xmlns="http://schemas.openxmlformats.org/spreadsheetml/2006/main" ref="A12:D34" displayName="Uscite_Set" name="Uscite_Set" id="30">
  <tableColumns count="4">
    <tableColumn name="Necessita" id="1"/>
    <tableColumn name="Categoria" id="2"/>
    <tableColumn name="Totale" id="3"/>
    <tableColumn name="Obiettivo" id="4"/>
  </tableColumns>
  <tableStyleInfo name="Set-style 2" showColumnStripes="0" showFirstColumn="1" showLastColumn="1" showRowStripes="1"/>
</table>
</file>

<file path=xl/tables/table31.xml><?xml version="1.0" encoding="utf-8"?>
<table xmlns="http://schemas.openxmlformats.org/spreadsheetml/2006/main" totalsRowCount="1" ref="A37:C55" displayName="Risparmi_9" name="Risparmi_9" id="31">
  <tableColumns count="3">
    <tableColumn totalsRowLabel="Totale Risparmi" name="Categoria" id="1"/>
    <tableColumn totalsRowFunction="custom" name="Totale" id="2"/>
    <tableColumn totalsRowFunction="custom" name="Obiettivo" id="3"/>
  </tableColumns>
  <tableStyleInfo name="Set-style 3" showColumnStripes="0" showFirstColumn="1" showLastColumn="1" showRowStripes="1"/>
</table>
</file>

<file path=xl/tables/table32.xml><?xml version="1.0" encoding="utf-8"?>
<table xmlns="http://schemas.openxmlformats.org/spreadsheetml/2006/main" totalsRowCount="1" ref="A3:C8" displayName="Entrate_Ott" name="Entrate_Ott" id="32">
  <tableColumns count="3">
    <tableColumn name="Categoria" id="1"/>
    <tableColumn totalsRowFunction="custom" name="Totale" id="2"/>
    <tableColumn totalsRowFunction="custom" name="Obiettivo" id="3"/>
  </tableColumns>
  <tableStyleInfo name="Ott-style" showColumnStripes="0" showFirstColumn="1" showLastColumn="1" showRowStripes="1"/>
</table>
</file>

<file path=xl/tables/table33.xml><?xml version="1.0" encoding="utf-8"?>
<table xmlns="http://schemas.openxmlformats.org/spreadsheetml/2006/main" ref="A12:D34" displayName="Uscite_Ott" name="Uscite_Ott" id="33">
  <tableColumns count="4">
    <tableColumn name="Necessita" id="1"/>
    <tableColumn name="Categoria" id="2"/>
    <tableColumn name="Totale" id="3"/>
    <tableColumn name="Obiettivo" id="4"/>
  </tableColumns>
  <tableStyleInfo name="Ott-style 2" showColumnStripes="0" showFirstColumn="1" showLastColumn="1" showRowStripes="1"/>
</table>
</file>

<file path=xl/tables/table34.xml><?xml version="1.0" encoding="utf-8"?>
<table xmlns="http://schemas.openxmlformats.org/spreadsheetml/2006/main" totalsRowCount="1" ref="A37:C55" displayName="Risparmi_Ott" name="Risparmi_Ott" id="34">
  <tableColumns count="3">
    <tableColumn totalsRowLabel="Totale Risparmi" name="Categoria" id="1"/>
    <tableColumn totalsRowFunction="custom" name="Totale" id="2"/>
    <tableColumn totalsRowFunction="custom" name="Obiettivo" id="3"/>
  </tableColumns>
  <tableStyleInfo name="Ott-style 3" showColumnStripes="0" showFirstColumn="1" showLastColumn="1" showRowStripes="1"/>
</table>
</file>

<file path=xl/tables/table35.xml><?xml version="1.0" encoding="utf-8"?>
<table xmlns="http://schemas.openxmlformats.org/spreadsheetml/2006/main" totalsRowCount="1" ref="A3:C8" displayName="Entrate_Nov" name="Entrate_Nov" id="35">
  <tableColumns count="3">
    <tableColumn name="Categoria" id="1"/>
    <tableColumn totalsRowFunction="custom" name="Totale" id="2"/>
    <tableColumn totalsRowFunction="custom" name="Obiettivo" id="3"/>
  </tableColumns>
  <tableStyleInfo name="Nov-style" showColumnStripes="0" showFirstColumn="1" showLastColumn="1" showRowStripes="1"/>
</table>
</file>

<file path=xl/tables/table36.xml><?xml version="1.0" encoding="utf-8"?>
<table xmlns="http://schemas.openxmlformats.org/spreadsheetml/2006/main" ref="A12:D34" displayName="Uscite_Nov" name="Uscite_Nov" id="36">
  <tableColumns count="4">
    <tableColumn name="Necessita" id="1"/>
    <tableColumn name="Categoria" id="2"/>
    <tableColumn name="Totale" id="3"/>
    <tableColumn name="Obiettivo" id="4"/>
  </tableColumns>
  <tableStyleInfo name="Nov-style 2" showColumnStripes="0" showFirstColumn="1" showLastColumn="1" showRowStripes="1"/>
</table>
</file>

<file path=xl/tables/table37.xml><?xml version="1.0" encoding="utf-8"?>
<table xmlns="http://schemas.openxmlformats.org/spreadsheetml/2006/main" totalsRowCount="1" ref="A37:C55" displayName="Risparmi_Nov" name="Risparmi_Nov" id="37">
  <tableColumns count="3">
    <tableColumn totalsRowLabel="Totale Risparmi" name="Categoria" id="1"/>
    <tableColumn totalsRowFunction="custom" name="Totale" id="2"/>
    <tableColumn totalsRowFunction="custom" name="Obiettivo" id="3"/>
  </tableColumns>
  <tableStyleInfo name="Nov-style 3" showColumnStripes="0" showFirstColumn="1" showLastColumn="1" showRowStripes="1"/>
</table>
</file>

<file path=xl/tables/table38.xml><?xml version="1.0" encoding="utf-8"?>
<table xmlns="http://schemas.openxmlformats.org/spreadsheetml/2006/main" totalsRowCount="1" ref="A3:C8" displayName="Entrate_Dic" name="Entrate_Dic" id="38">
  <tableColumns count="3">
    <tableColumn name="Categoria" id="1"/>
    <tableColumn totalsRowFunction="custom" name="Totale" id="2"/>
    <tableColumn totalsRowFunction="custom" name="Obiettivo" id="3"/>
  </tableColumns>
  <tableStyleInfo name="Dic-style" showColumnStripes="0" showFirstColumn="1" showLastColumn="1" showRowStripes="1"/>
</table>
</file>

<file path=xl/tables/table39.xml><?xml version="1.0" encoding="utf-8"?>
<table xmlns="http://schemas.openxmlformats.org/spreadsheetml/2006/main" ref="A12:D34" displayName="Uscite_Dic" name="Uscite_Dic" id="39">
  <tableColumns count="4">
    <tableColumn name="Necessita" id="1"/>
    <tableColumn name="Categoria" id="2"/>
    <tableColumn name="Totale" id="3"/>
    <tableColumn name="Obiettivo" id="4"/>
  </tableColumns>
  <tableStyleInfo name="Dic-style 2" showColumnStripes="0" showFirstColumn="1" showLastColumn="1" showRowStripes="1"/>
</table>
</file>

<file path=xl/tables/table40.xml><?xml version="1.0" encoding="utf-8"?>
<table xmlns="http://schemas.openxmlformats.org/spreadsheetml/2006/main" totalsRowCount="1" ref="A37:C55" displayName="Risparmi_Dic" name="Risparmi_Dic" id="40">
  <tableColumns count="3">
    <tableColumn totalsRowLabel="Totale Risparmi" name="Categoria" id="1"/>
    <tableColumn totalsRowFunction="custom" name="Totale" id="2"/>
    <tableColumn totalsRowFunction="custom" name="Obiettivo" id="3"/>
  </tableColumns>
  <tableStyleInfo name="Dic-style 3" showColumnStripes="0" showFirstColumn="1" showLastColumn="1" showRowStripes="1"/>
</table>
</file>

<file path=xl/tables/table41.xml><?xml version="1.0" encoding="utf-8"?>
<table xmlns="http://schemas.openxmlformats.org/spreadsheetml/2006/main" ref="A1:K15" displayName="Sinking_Funds" name="Sinking_Funds" id="41">
  <tableColumns count="11">
    <tableColumn name="Attività" id="1"/>
    <tableColumn name="Stato" id="2"/>
    <tableColumn name="Obiettivo " id="3"/>
    <tableColumn name="Risparmio Mensile" id="4"/>
    <tableColumn name="Risparmiato Precedentemente" id="5"/>
    <tableColumn name="Spese" id="6"/>
    <tableColumn name="Saldo Attuale" id="7"/>
    <tableColumn name="Saldo Mancante" id="8"/>
    <tableColumn name="Data di inizio" id="9"/>
    <tableColumn name="Note" id="10"/>
    <tableColumn name="Data di Scadenza" id="11"/>
  </tableColumns>
  <tableStyleInfo name="Sinking Funds-style" showColumnStripes="0" showFirstColumn="1" showLastColumn="1" showRowStripes="1"/>
</table>
</file>

<file path=xl/tables/table42.xml><?xml version="1.0" encoding="utf-8"?>
<table xmlns="http://schemas.openxmlformats.org/spreadsheetml/2006/main" ref="A18:F19" displayName="Riepilogo_Sinking_Funds" name="Riepilogo_Sinking_Funds" id="42">
  <tableColumns count="6">
    <tableColumn name="Obiettivo Totale" id="1"/>
    <tableColumn name="Totale Saldo Attuale" id="2"/>
    <tableColumn name="Totale Saldo Mancante" id="3"/>
    <tableColumn name="% Completamento Obiettivi" id="4"/>
    <tableColumn name="% Mancante Obiettivi" id="5"/>
    <tableColumn name="Risparmio Mensile Totale" id="6"/>
  </tableColumns>
  <tableStyleInfo name="Sinking Funds-style 2" showColumnStripes="0" showFirstColumn="1" showLastColumn="1" showRowStripes="1"/>
</table>
</file>

<file path=xl/tables/table43.xml><?xml version="1.0" encoding="utf-8"?>
<table xmlns="http://schemas.openxmlformats.org/spreadsheetml/2006/main" totalsRowCount="1" ref="A1:I26" displayName="INVESTIMENTI" name="INVESTIMENTI" id="43">
  <tableColumns count="9">
    <tableColumn totalsRowLabel="TOTALI" name="Asset/Strumento" id="1"/>
    <tableColumn totalsRowLabel="0" name="Categoria" id="2"/>
    <tableColumn name="Quantità Posseduta" id="3"/>
    <tableColumn name="PMC" id="4"/>
    <tableColumn name="Ticker" id="5"/>
    <tableColumn name="Prezzo Attuale" id="6"/>
    <tableColumn totalsRowFunction="custom" name="Valore Iniziale" id="7"/>
    <tableColumn totalsRowFunction="custom" name="Valore Attuale" id="8"/>
    <tableColumn totalsRowFunction="custom" name="Profitto/Perdita" id="9"/>
  </tableColumns>
  <tableStyleInfo name="Investimenti-style" showColumnStripes="0" showFirstColumn="1" showLastColumn="1" showRowStripes="1"/>
</table>
</file>

<file path=xl/tables/table44.xml><?xml version="1.0" encoding="utf-8"?>
<table xmlns="http://schemas.openxmlformats.org/spreadsheetml/2006/main" totalsRowCount="1" ref="A1:H16" displayName="Debiti" name="Debiti" id="44">
  <tableColumns count="8">
    <tableColumn totalsRowLabel="TOTALI" name="Attività" id="1"/>
    <tableColumn name="Categorie" id="2"/>
    <tableColumn totalsRowFunction="custom" name="Valore Debito" id="3"/>
    <tableColumn totalsRowFunction="custom" name="Rata Mensile" id="4"/>
    <tableColumn totalsRowFunction="custom" name="Totale Pagato" id="5"/>
    <tableColumn totalsRowFunction="custom" name="Totale Mancante" id="6"/>
    <tableColumn name="Data Inizio" id="7"/>
    <tableColumn name="Data Scadenza" id="8"/>
  </tableColumns>
  <tableStyleInfo name="Debiti-style" showColumnStripes="0" showFirstColumn="1" showLastColumn="1" showRowStripes="1"/>
</table>
</file>

<file path=xl/tables/table45.xml><?xml version="1.0" encoding="utf-8"?>
<table xmlns="http://schemas.openxmlformats.org/spreadsheetml/2006/main" ref="A1:F2" displayName="Net_Worth" name="Net_Worth" id="45">
  <tableColumns count="6">
    <tableColumn name="Data Attuale" id="1"/>
    <tableColumn name="Liquidità" id="2"/>
    <tableColumn name="Sinking Funds" id="3"/>
    <tableColumn name="Investimenti" id="4"/>
    <tableColumn name="Debiti" id="5"/>
    <tableColumn name="Totale Net Worth" id="6"/>
  </tableColumns>
  <tableStyleInfo name="Net Worth-style" showColumnStripes="0" showFirstColumn="1" showLastColumn="1" showRowStripes="1"/>
</table>
</file>

<file path=xl/tables/table46.xml><?xml version="1.0" encoding="utf-8"?>
<table xmlns="http://schemas.openxmlformats.org/spreadsheetml/2006/main" ref="A8:F9" displayName="Tabella_1" name="Tabella_1" id="46">
  <tableColumns count="6">
    <tableColumn name="Data Attuale" id="1"/>
    <tableColumn name="Liquidità" id="2"/>
    <tableColumn name="Sinking Funds" id="3"/>
    <tableColumn name="Investimenti" id="4"/>
    <tableColumn name="Debiti" id="5"/>
    <tableColumn name="Totale Net Worth" id="6"/>
  </tableColumns>
  <tableStyleInfo name="Net Worth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8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11.xml"/><Relationship Id="rId6" Type="http://schemas.openxmlformats.org/officeDocument/2006/relationships/table" Target="../tables/table12.xml"/><Relationship Id="rId7" Type="http://schemas.openxmlformats.org/officeDocument/2006/relationships/table" Target="../tables/table1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14.xml"/><Relationship Id="rId6" Type="http://schemas.openxmlformats.org/officeDocument/2006/relationships/table" Target="../tables/table15.xml"/><Relationship Id="rId7" Type="http://schemas.openxmlformats.org/officeDocument/2006/relationships/table" Target="../tables/table1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17.xml"/><Relationship Id="rId6" Type="http://schemas.openxmlformats.org/officeDocument/2006/relationships/table" Target="../tables/table18.xml"/><Relationship Id="rId7" Type="http://schemas.openxmlformats.org/officeDocument/2006/relationships/table" Target="../tables/table1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5" Type="http://schemas.openxmlformats.org/officeDocument/2006/relationships/table" Target="../tables/table20.xml"/><Relationship Id="rId6" Type="http://schemas.openxmlformats.org/officeDocument/2006/relationships/table" Target="../tables/table21.xml"/><Relationship Id="rId7" Type="http://schemas.openxmlformats.org/officeDocument/2006/relationships/table" Target="../tables/table2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5" Type="http://schemas.openxmlformats.org/officeDocument/2006/relationships/table" Target="../tables/table23.xml"/><Relationship Id="rId6" Type="http://schemas.openxmlformats.org/officeDocument/2006/relationships/table" Target="../tables/table24.xml"/><Relationship Id="rId7" Type="http://schemas.openxmlformats.org/officeDocument/2006/relationships/table" Target="../tables/table2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5" Type="http://schemas.openxmlformats.org/officeDocument/2006/relationships/table" Target="../tables/table26.xml"/><Relationship Id="rId6" Type="http://schemas.openxmlformats.org/officeDocument/2006/relationships/table" Target="../tables/table27.xml"/><Relationship Id="rId7" Type="http://schemas.openxmlformats.org/officeDocument/2006/relationships/table" Target="../tables/table2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5" Type="http://schemas.openxmlformats.org/officeDocument/2006/relationships/table" Target="../tables/table29.xml"/><Relationship Id="rId6" Type="http://schemas.openxmlformats.org/officeDocument/2006/relationships/table" Target="../tables/table30.xml"/><Relationship Id="rId7" Type="http://schemas.openxmlformats.org/officeDocument/2006/relationships/table" Target="../tables/table3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5" Type="http://schemas.openxmlformats.org/officeDocument/2006/relationships/table" Target="../tables/table32.xml"/><Relationship Id="rId6" Type="http://schemas.openxmlformats.org/officeDocument/2006/relationships/table" Target="../tables/table33.xml"/><Relationship Id="rId7" Type="http://schemas.openxmlformats.org/officeDocument/2006/relationships/table" Target="../tables/table3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5" Type="http://schemas.openxmlformats.org/officeDocument/2006/relationships/table" Target="../tables/table35.xml"/><Relationship Id="rId6" Type="http://schemas.openxmlformats.org/officeDocument/2006/relationships/table" Target="../tables/table36.xml"/><Relationship Id="rId7" Type="http://schemas.openxmlformats.org/officeDocument/2006/relationships/table" Target="../tables/table37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5" Type="http://schemas.openxmlformats.org/officeDocument/2006/relationships/table" Target="../tables/table38.xml"/><Relationship Id="rId6" Type="http://schemas.openxmlformats.org/officeDocument/2006/relationships/table" Target="../tables/table39.xml"/><Relationship Id="rId7" Type="http://schemas.openxmlformats.org/officeDocument/2006/relationships/table" Target="../tables/table40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4" Type="http://schemas.openxmlformats.org/officeDocument/2006/relationships/table" Target="../tables/table41.xml"/><Relationship Id="rId5" Type="http://schemas.openxmlformats.org/officeDocument/2006/relationships/table" Target="../tables/table4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43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44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4" Type="http://schemas.openxmlformats.org/officeDocument/2006/relationships/table" Target="../tables/table45.xml"/><Relationship Id="rId5" Type="http://schemas.openxmlformats.org/officeDocument/2006/relationships/table" Target="../tables/table46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22.63"/>
    <col customWidth="1" min="3" max="3" width="14.63"/>
    <col customWidth="1" min="4" max="5" width="20.5"/>
    <col customWidth="1" min="6" max="6" width="13.0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/>
      <c r="G1" s="4"/>
      <c r="H1" s="4"/>
    </row>
    <row r="2" ht="22.5" customHeight="1">
      <c r="B2" s="5" t="s">
        <v>5</v>
      </c>
      <c r="C2" s="6">
        <v>500.0</v>
      </c>
      <c r="D2" s="7">
        <v>46023.0</v>
      </c>
      <c r="E2" s="5" t="s">
        <v>6</v>
      </c>
    </row>
    <row r="3" ht="22.5" customHeight="1">
      <c r="B3" s="5" t="s">
        <v>7</v>
      </c>
      <c r="C3" s="6">
        <v>50.0</v>
      </c>
      <c r="D3" s="7">
        <v>46023.0</v>
      </c>
      <c r="E3" s="5" t="s">
        <v>6</v>
      </c>
    </row>
    <row r="4" ht="22.5" customHeight="1">
      <c r="B4" s="5" t="s">
        <v>8</v>
      </c>
      <c r="C4" s="6">
        <v>64.0</v>
      </c>
      <c r="D4" s="7">
        <v>46023.0</v>
      </c>
      <c r="E4" s="5" t="s">
        <v>9</v>
      </c>
    </row>
    <row r="5" ht="22.5" customHeight="1">
      <c r="B5" s="5" t="s">
        <v>10</v>
      </c>
      <c r="C5" s="6">
        <v>125.0</v>
      </c>
      <c r="D5" s="7">
        <v>46023.0</v>
      </c>
      <c r="E5" s="5" t="s">
        <v>9</v>
      </c>
    </row>
    <row r="6" ht="22.5" customHeight="1">
      <c r="B6" s="5" t="s">
        <v>11</v>
      </c>
      <c r="C6" s="6">
        <v>200.0</v>
      </c>
      <c r="D6" s="7">
        <v>46023.0</v>
      </c>
      <c r="E6" s="5" t="s">
        <v>9</v>
      </c>
    </row>
    <row r="7" ht="22.5" customHeight="1">
      <c r="B7" s="5" t="s">
        <v>12</v>
      </c>
      <c r="C7" s="6">
        <v>9.0</v>
      </c>
      <c r="D7" s="7">
        <v>46023.0</v>
      </c>
      <c r="E7" s="5" t="s">
        <v>9</v>
      </c>
    </row>
    <row r="8" ht="22.5" customHeight="1">
      <c r="B8" s="5" t="s">
        <v>13</v>
      </c>
      <c r="C8" s="6">
        <v>36.0</v>
      </c>
      <c r="D8" s="7">
        <v>46023.0</v>
      </c>
      <c r="E8" s="5" t="s">
        <v>9</v>
      </c>
    </row>
    <row r="9" ht="22.5" customHeight="1">
      <c r="B9" s="5" t="s">
        <v>14</v>
      </c>
      <c r="C9" s="6">
        <v>29.0</v>
      </c>
      <c r="D9" s="7">
        <v>46023.0</v>
      </c>
      <c r="E9" s="5" t="s">
        <v>9</v>
      </c>
    </row>
    <row r="10" ht="22.5" customHeight="1">
      <c r="B10" s="5" t="s">
        <v>15</v>
      </c>
      <c r="C10" s="6">
        <v>230.0</v>
      </c>
      <c r="D10" s="7">
        <v>46023.0</v>
      </c>
      <c r="E10" s="5" t="s">
        <v>9</v>
      </c>
    </row>
    <row r="11" ht="22.5" customHeight="1">
      <c r="B11" s="5" t="s">
        <v>16</v>
      </c>
      <c r="C11" s="6">
        <v>112.0</v>
      </c>
      <c r="D11" s="7">
        <v>46023.0</v>
      </c>
      <c r="E11" s="5" t="s">
        <v>9</v>
      </c>
    </row>
    <row r="12" ht="22.5" customHeight="1">
      <c r="B12" s="5" t="s">
        <v>17</v>
      </c>
      <c r="C12" s="6">
        <v>100.0</v>
      </c>
      <c r="D12" s="7">
        <v>46023.0</v>
      </c>
      <c r="E12" s="5" t="s">
        <v>9</v>
      </c>
    </row>
    <row r="13" ht="22.5" customHeight="1">
      <c r="B13" s="5" t="s">
        <v>18</v>
      </c>
      <c r="C13" s="6">
        <v>32.0</v>
      </c>
      <c r="D13" s="7">
        <v>46023.0</v>
      </c>
      <c r="E13" s="5" t="s">
        <v>9</v>
      </c>
    </row>
    <row r="14" ht="22.5" customHeight="1">
      <c r="B14" s="5" t="s">
        <v>19</v>
      </c>
      <c r="C14" s="6">
        <v>12.0</v>
      </c>
      <c r="D14" s="7">
        <v>46023.0</v>
      </c>
      <c r="E14" s="5" t="s">
        <v>9</v>
      </c>
    </row>
    <row r="15" ht="22.5" customHeight="1">
      <c r="B15" s="5" t="s">
        <v>20</v>
      </c>
      <c r="C15" s="6">
        <v>1500.0</v>
      </c>
      <c r="D15" s="7">
        <v>46023.0</v>
      </c>
      <c r="E15" s="8"/>
    </row>
    <row r="16" ht="22.5" customHeight="1">
      <c r="B16" s="5" t="s">
        <v>21</v>
      </c>
      <c r="C16" s="6">
        <v>50.0</v>
      </c>
      <c r="D16" s="7">
        <v>46023.0</v>
      </c>
      <c r="E16" s="8"/>
    </row>
    <row r="17" ht="22.5" customHeight="1">
      <c r="B17" s="5" t="s">
        <v>22</v>
      </c>
      <c r="C17" s="6">
        <v>60.0</v>
      </c>
      <c r="D17" s="7">
        <v>46023.0</v>
      </c>
      <c r="E17" s="5" t="s">
        <v>9</v>
      </c>
    </row>
    <row r="18" ht="22.5" customHeight="1">
      <c r="B18" s="5" t="s">
        <v>23</v>
      </c>
      <c r="C18" s="6">
        <v>100.0</v>
      </c>
      <c r="D18" s="7">
        <v>46023.0</v>
      </c>
      <c r="E18" s="5" t="s">
        <v>9</v>
      </c>
    </row>
    <row r="19" ht="22.5" customHeight="1">
      <c r="B19" s="5" t="s">
        <v>5</v>
      </c>
      <c r="C19" s="6">
        <v>200.0</v>
      </c>
      <c r="D19" s="7">
        <v>46054.0</v>
      </c>
      <c r="E19" s="5" t="s">
        <v>6</v>
      </c>
    </row>
    <row r="20" ht="22.5" customHeight="1">
      <c r="B20" s="5" t="s">
        <v>7</v>
      </c>
      <c r="C20" s="6">
        <v>112.0</v>
      </c>
      <c r="D20" s="7">
        <v>46054.0</v>
      </c>
      <c r="E20" s="5" t="s">
        <v>9</v>
      </c>
    </row>
    <row r="21" ht="22.5" customHeight="1">
      <c r="B21" s="5" t="s">
        <v>8</v>
      </c>
      <c r="C21" s="6">
        <v>79.0</v>
      </c>
      <c r="D21" s="7">
        <v>46054.0</v>
      </c>
      <c r="E21" s="5" t="s">
        <v>9</v>
      </c>
    </row>
    <row r="22" ht="22.5" customHeight="1">
      <c r="B22" s="5" t="s">
        <v>10</v>
      </c>
      <c r="C22" s="9"/>
      <c r="D22" s="7">
        <v>46054.0</v>
      </c>
      <c r="E22" s="8"/>
    </row>
    <row r="23" ht="22.5" customHeight="1">
      <c r="B23" s="5" t="s">
        <v>11</v>
      </c>
      <c r="C23" s="9"/>
      <c r="D23" s="7">
        <v>46054.0</v>
      </c>
      <c r="E23" s="8"/>
    </row>
    <row r="24" ht="22.5" customHeight="1">
      <c r="B24" s="5" t="s">
        <v>12</v>
      </c>
      <c r="C24" s="9"/>
      <c r="D24" s="7">
        <v>46054.0</v>
      </c>
      <c r="E24" s="8"/>
    </row>
    <row r="25" ht="22.5" customHeight="1">
      <c r="B25" s="5" t="s">
        <v>13</v>
      </c>
      <c r="C25" s="9"/>
      <c r="D25" s="7">
        <v>46054.0</v>
      </c>
      <c r="E25" s="8"/>
    </row>
    <row r="26" ht="22.5" customHeight="1">
      <c r="B26" s="5" t="s">
        <v>14</v>
      </c>
      <c r="C26" s="9"/>
      <c r="D26" s="7">
        <v>46054.0</v>
      </c>
      <c r="E26" s="8"/>
    </row>
    <row r="27" ht="22.5" customHeight="1">
      <c r="B27" s="5" t="s">
        <v>15</v>
      </c>
      <c r="C27" s="6">
        <v>780.0</v>
      </c>
      <c r="D27" s="7">
        <v>46054.0</v>
      </c>
      <c r="E27" s="5" t="s">
        <v>9</v>
      </c>
    </row>
    <row r="28" ht="22.5" customHeight="1">
      <c r="B28" s="5" t="s">
        <v>16</v>
      </c>
      <c r="C28" s="9"/>
      <c r="D28" s="7">
        <v>46054.0</v>
      </c>
      <c r="E28" s="8"/>
    </row>
    <row r="29" ht="22.5" customHeight="1">
      <c r="B29" s="5" t="s">
        <v>17</v>
      </c>
      <c r="C29" s="9"/>
      <c r="D29" s="7">
        <v>46054.0</v>
      </c>
      <c r="E29" s="8"/>
    </row>
    <row r="30" ht="22.5" customHeight="1">
      <c r="B30" s="5" t="s">
        <v>18</v>
      </c>
      <c r="C30" s="9"/>
      <c r="D30" s="7">
        <v>46054.0</v>
      </c>
      <c r="E30" s="8"/>
    </row>
    <row r="31" ht="22.5" customHeight="1">
      <c r="B31" s="5" t="s">
        <v>19</v>
      </c>
      <c r="C31" s="9"/>
      <c r="D31" s="7">
        <v>46054.0</v>
      </c>
      <c r="E31" s="8"/>
    </row>
    <row r="32" ht="22.5" customHeight="1">
      <c r="B32" s="5" t="s">
        <v>20</v>
      </c>
      <c r="C32" s="6">
        <v>1400.0</v>
      </c>
      <c r="D32" s="7">
        <v>46054.0</v>
      </c>
      <c r="E32" s="8"/>
    </row>
    <row r="33" ht="22.5" customHeight="1">
      <c r="B33" s="5" t="s">
        <v>21</v>
      </c>
      <c r="C33" s="9"/>
      <c r="D33" s="7">
        <v>46054.0</v>
      </c>
      <c r="E33" s="8"/>
    </row>
    <row r="34" ht="22.5" customHeight="1">
      <c r="B34" s="5" t="s">
        <v>22</v>
      </c>
      <c r="C34" s="9"/>
      <c r="D34" s="7">
        <v>46054.0</v>
      </c>
      <c r="E34" s="8"/>
    </row>
    <row r="35" ht="22.5" customHeight="1">
      <c r="B35" s="5" t="s">
        <v>23</v>
      </c>
      <c r="C35" s="9"/>
      <c r="D35" s="7">
        <v>46054.0</v>
      </c>
      <c r="E35" s="8"/>
    </row>
    <row r="36" ht="22.5" customHeight="1">
      <c r="B36" s="5" t="s">
        <v>5</v>
      </c>
      <c r="C36" s="6">
        <v>350.0</v>
      </c>
      <c r="D36" s="7">
        <v>46082.0</v>
      </c>
      <c r="E36" s="5" t="s">
        <v>9</v>
      </c>
    </row>
    <row r="37" ht="22.5" customHeight="1">
      <c r="B37" s="5" t="s">
        <v>7</v>
      </c>
      <c r="C37" s="9"/>
      <c r="D37" s="7">
        <v>46082.0</v>
      </c>
      <c r="E37" s="8"/>
    </row>
    <row r="38" ht="22.5" customHeight="1">
      <c r="B38" s="5" t="s">
        <v>8</v>
      </c>
      <c r="C38" s="9"/>
      <c r="D38" s="7">
        <v>46082.0</v>
      </c>
      <c r="E38" s="8"/>
    </row>
    <row r="39" ht="22.5" customHeight="1">
      <c r="B39" s="5" t="s">
        <v>10</v>
      </c>
      <c r="C39" s="9"/>
      <c r="D39" s="7">
        <v>46082.0</v>
      </c>
      <c r="E39" s="8"/>
    </row>
    <row r="40" ht="22.5" customHeight="1">
      <c r="B40" s="5" t="s">
        <v>11</v>
      </c>
      <c r="C40" s="9"/>
      <c r="D40" s="7">
        <v>46082.0</v>
      </c>
      <c r="E40" s="8"/>
    </row>
    <row r="41" ht="22.5" customHeight="1">
      <c r="B41" s="5" t="s">
        <v>12</v>
      </c>
      <c r="C41" s="9"/>
      <c r="D41" s="7">
        <v>46082.0</v>
      </c>
      <c r="E41" s="8"/>
    </row>
    <row r="42" ht="22.5" customHeight="1">
      <c r="B42" s="5" t="s">
        <v>13</v>
      </c>
      <c r="C42" s="9"/>
      <c r="D42" s="7">
        <v>46082.0</v>
      </c>
      <c r="E42" s="8"/>
    </row>
    <row r="43" ht="22.5" customHeight="1">
      <c r="B43" s="5" t="s">
        <v>14</v>
      </c>
      <c r="C43" s="9"/>
      <c r="D43" s="7">
        <v>46082.0</v>
      </c>
      <c r="E43" s="8"/>
    </row>
    <row r="44" ht="22.5" customHeight="1">
      <c r="B44" s="5" t="s">
        <v>15</v>
      </c>
      <c r="C44" s="9"/>
      <c r="D44" s="7">
        <v>46082.0</v>
      </c>
      <c r="E44" s="8"/>
    </row>
    <row r="45" ht="22.5" customHeight="1">
      <c r="B45" s="5" t="s">
        <v>16</v>
      </c>
      <c r="C45" s="9"/>
      <c r="D45" s="7">
        <v>46082.0</v>
      </c>
      <c r="E45" s="8"/>
    </row>
    <row r="46" ht="22.5" customHeight="1">
      <c r="B46" s="5" t="s">
        <v>17</v>
      </c>
      <c r="C46" s="6">
        <v>30.0</v>
      </c>
      <c r="D46" s="7">
        <v>46082.0</v>
      </c>
      <c r="E46" s="5" t="s">
        <v>9</v>
      </c>
    </row>
    <row r="47" ht="22.5" customHeight="1">
      <c r="B47" s="5" t="s">
        <v>18</v>
      </c>
      <c r="C47" s="9"/>
      <c r="D47" s="7">
        <v>46082.0</v>
      </c>
      <c r="E47" s="8"/>
    </row>
    <row r="48" ht="22.5" customHeight="1">
      <c r="B48" s="5" t="s">
        <v>19</v>
      </c>
      <c r="C48" s="9"/>
      <c r="D48" s="7">
        <v>46082.0</v>
      </c>
      <c r="E48" s="8"/>
    </row>
    <row r="49" ht="22.5" customHeight="1">
      <c r="B49" s="5" t="s">
        <v>20</v>
      </c>
      <c r="C49" s="6">
        <v>1500.0</v>
      </c>
      <c r="D49" s="7">
        <v>46082.0</v>
      </c>
      <c r="E49" s="8"/>
    </row>
    <row r="50" ht="22.5" customHeight="1">
      <c r="B50" s="5" t="s">
        <v>21</v>
      </c>
      <c r="C50" s="6">
        <v>10.0</v>
      </c>
      <c r="D50" s="7">
        <v>46082.0</v>
      </c>
      <c r="E50" s="8"/>
    </row>
    <row r="51" ht="22.5" customHeight="1">
      <c r="B51" s="5" t="s">
        <v>22</v>
      </c>
      <c r="C51" s="9"/>
      <c r="D51" s="7">
        <v>46082.0</v>
      </c>
      <c r="E51" s="8"/>
    </row>
    <row r="52" ht="22.5" customHeight="1">
      <c r="B52" s="5" t="s">
        <v>23</v>
      </c>
      <c r="C52" s="9"/>
      <c r="D52" s="7">
        <v>46082.0</v>
      </c>
      <c r="E52" s="8"/>
    </row>
    <row r="53" ht="22.5" customHeight="1">
      <c r="B53" s="5" t="s">
        <v>5</v>
      </c>
      <c r="C53" s="9"/>
      <c r="D53" s="7">
        <v>46113.0</v>
      </c>
      <c r="E53" s="5" t="s">
        <v>9</v>
      </c>
    </row>
    <row r="54" ht="22.5" customHeight="1">
      <c r="B54" s="5" t="s">
        <v>7</v>
      </c>
      <c r="C54" s="6">
        <v>54.0</v>
      </c>
      <c r="D54" s="7">
        <v>46113.0</v>
      </c>
      <c r="E54" s="8"/>
    </row>
    <row r="55" ht="22.5" customHeight="1">
      <c r="B55" s="5" t="s">
        <v>8</v>
      </c>
      <c r="C55" s="9"/>
      <c r="D55" s="7">
        <v>46113.0</v>
      </c>
      <c r="E55" s="8"/>
    </row>
    <row r="56" ht="22.5" customHeight="1">
      <c r="B56" s="5" t="s">
        <v>10</v>
      </c>
      <c r="C56" s="9"/>
      <c r="D56" s="7">
        <v>46113.0</v>
      </c>
      <c r="E56" s="8"/>
    </row>
    <row r="57" ht="22.5" customHeight="1">
      <c r="B57" s="5" t="s">
        <v>11</v>
      </c>
      <c r="C57" s="9"/>
      <c r="D57" s="7">
        <v>46113.0</v>
      </c>
      <c r="E57" s="8"/>
    </row>
    <row r="58" ht="22.5" customHeight="1">
      <c r="B58" s="5" t="s">
        <v>12</v>
      </c>
      <c r="C58" s="6">
        <v>32.0</v>
      </c>
      <c r="D58" s="7">
        <v>46113.0</v>
      </c>
      <c r="E58" s="5" t="s">
        <v>9</v>
      </c>
    </row>
    <row r="59" ht="22.5" customHeight="1">
      <c r="B59" s="5" t="s">
        <v>13</v>
      </c>
      <c r="C59" s="9"/>
      <c r="D59" s="7">
        <v>46113.0</v>
      </c>
      <c r="E59" s="8"/>
    </row>
    <row r="60" ht="22.5" customHeight="1">
      <c r="B60" s="5" t="s">
        <v>14</v>
      </c>
      <c r="C60" s="9"/>
      <c r="D60" s="7">
        <v>46113.0</v>
      </c>
      <c r="E60" s="8"/>
    </row>
    <row r="61" ht="22.5" customHeight="1">
      <c r="B61" s="5" t="s">
        <v>15</v>
      </c>
      <c r="C61" s="6">
        <v>300.0</v>
      </c>
      <c r="D61" s="7">
        <v>46113.0</v>
      </c>
      <c r="E61" s="5" t="s">
        <v>6</v>
      </c>
    </row>
    <row r="62" ht="22.5" customHeight="1">
      <c r="B62" s="5" t="s">
        <v>16</v>
      </c>
      <c r="C62" s="9"/>
      <c r="D62" s="7">
        <v>46113.0</v>
      </c>
      <c r="E62" s="8"/>
    </row>
    <row r="63" ht="22.5" customHeight="1">
      <c r="B63" s="5" t="s">
        <v>17</v>
      </c>
      <c r="C63" s="9"/>
      <c r="D63" s="7">
        <v>46113.0</v>
      </c>
      <c r="E63" s="8"/>
    </row>
    <row r="64" ht="22.5" customHeight="1">
      <c r="B64" s="5" t="s">
        <v>18</v>
      </c>
      <c r="C64" s="9"/>
      <c r="D64" s="7">
        <v>46113.0</v>
      </c>
      <c r="E64" s="8"/>
    </row>
    <row r="65" ht="22.5" customHeight="1">
      <c r="B65" s="5" t="s">
        <v>19</v>
      </c>
      <c r="C65" s="9"/>
      <c r="D65" s="7">
        <v>46113.0</v>
      </c>
      <c r="E65" s="8"/>
    </row>
    <row r="66" ht="22.5" customHeight="1">
      <c r="B66" s="5" t="s">
        <v>20</v>
      </c>
      <c r="C66" s="6">
        <v>1300.0</v>
      </c>
      <c r="D66" s="7">
        <v>46113.0</v>
      </c>
      <c r="E66" s="8"/>
    </row>
    <row r="67" ht="22.5" customHeight="1">
      <c r="B67" s="5" t="s">
        <v>21</v>
      </c>
      <c r="C67" s="9"/>
      <c r="D67" s="7">
        <v>46113.0</v>
      </c>
      <c r="E67" s="8"/>
    </row>
    <row r="68" ht="22.5" customHeight="1">
      <c r="B68" s="5" t="s">
        <v>22</v>
      </c>
      <c r="C68" s="9"/>
      <c r="D68" s="7">
        <v>46113.0</v>
      </c>
      <c r="E68" s="8"/>
    </row>
    <row r="69" ht="22.5" customHeight="1">
      <c r="B69" s="5" t="s">
        <v>23</v>
      </c>
      <c r="C69" s="9"/>
      <c r="D69" s="7">
        <v>46113.0</v>
      </c>
      <c r="E69" s="8"/>
    </row>
    <row r="70" ht="22.5" customHeight="1">
      <c r="B70" s="5" t="s">
        <v>10</v>
      </c>
      <c r="C70" s="6">
        <v>300.0</v>
      </c>
      <c r="D70" s="7">
        <v>46140.0</v>
      </c>
      <c r="E70" s="5" t="s">
        <v>9</v>
      </c>
    </row>
    <row r="71" ht="22.5" customHeight="1">
      <c r="B71" s="5" t="s">
        <v>5</v>
      </c>
      <c r="C71" s="6">
        <v>300.0</v>
      </c>
      <c r="D71" s="7">
        <v>46143.0</v>
      </c>
      <c r="E71" s="5" t="s">
        <v>9</v>
      </c>
    </row>
    <row r="72" ht="22.5" customHeight="1">
      <c r="B72" s="5" t="s">
        <v>7</v>
      </c>
      <c r="C72" s="9"/>
      <c r="D72" s="7">
        <v>46143.0</v>
      </c>
      <c r="E72" s="8"/>
    </row>
    <row r="73" ht="22.5" customHeight="1">
      <c r="B73" s="5" t="s">
        <v>8</v>
      </c>
      <c r="C73" s="9"/>
      <c r="D73" s="7">
        <v>46143.0</v>
      </c>
      <c r="E73" s="8"/>
    </row>
    <row r="74" ht="22.5" customHeight="1">
      <c r="B74" s="5" t="s">
        <v>10</v>
      </c>
      <c r="C74" s="9"/>
      <c r="D74" s="7">
        <v>46143.0</v>
      </c>
      <c r="E74" s="8"/>
    </row>
    <row r="75" ht="22.5" customHeight="1">
      <c r="B75" s="5" t="s">
        <v>11</v>
      </c>
      <c r="C75" s="6">
        <v>50.0</v>
      </c>
      <c r="D75" s="7">
        <v>46143.0</v>
      </c>
      <c r="E75" s="5" t="s">
        <v>9</v>
      </c>
    </row>
    <row r="76" ht="22.5" customHeight="1">
      <c r="B76" s="5" t="s">
        <v>12</v>
      </c>
      <c r="C76" s="9"/>
      <c r="D76" s="7">
        <v>46143.0</v>
      </c>
      <c r="E76" s="8"/>
    </row>
    <row r="77" ht="22.5" customHeight="1">
      <c r="B77" s="5" t="s">
        <v>13</v>
      </c>
      <c r="C77" s="6">
        <v>24.0</v>
      </c>
      <c r="D77" s="7">
        <v>46143.0</v>
      </c>
      <c r="E77" s="5" t="s">
        <v>9</v>
      </c>
    </row>
    <row r="78" ht="22.5" customHeight="1">
      <c r="B78" s="5" t="s">
        <v>14</v>
      </c>
      <c r="C78" s="9"/>
      <c r="D78" s="7">
        <v>46143.0</v>
      </c>
      <c r="E78" s="8"/>
    </row>
    <row r="79" ht="22.5" customHeight="1">
      <c r="B79" s="5" t="s">
        <v>15</v>
      </c>
      <c r="C79" s="6">
        <v>500.0</v>
      </c>
      <c r="D79" s="7">
        <v>46143.0</v>
      </c>
      <c r="E79" s="5" t="s">
        <v>6</v>
      </c>
    </row>
    <row r="80" ht="22.5" customHeight="1">
      <c r="B80" s="5" t="s">
        <v>16</v>
      </c>
      <c r="C80" s="9"/>
      <c r="D80" s="7">
        <v>46143.0</v>
      </c>
      <c r="E80" s="8"/>
    </row>
    <row r="81" ht="22.5" customHeight="1">
      <c r="B81" s="5" t="s">
        <v>17</v>
      </c>
      <c r="C81" s="9"/>
      <c r="D81" s="7">
        <v>46143.0</v>
      </c>
      <c r="E81" s="8"/>
    </row>
    <row r="82" ht="22.5" customHeight="1">
      <c r="B82" s="5" t="s">
        <v>18</v>
      </c>
      <c r="C82" s="9"/>
      <c r="D82" s="7">
        <v>46143.0</v>
      </c>
      <c r="E82" s="8"/>
    </row>
    <row r="83" ht="22.5" customHeight="1">
      <c r="B83" s="5" t="s">
        <v>19</v>
      </c>
      <c r="C83" s="9"/>
      <c r="D83" s="7">
        <v>46143.0</v>
      </c>
      <c r="E83" s="8"/>
    </row>
    <row r="84" ht="22.5" customHeight="1">
      <c r="B84" s="5" t="s">
        <v>20</v>
      </c>
      <c r="C84" s="6">
        <v>1230.0</v>
      </c>
      <c r="D84" s="7">
        <v>46143.0</v>
      </c>
      <c r="E84" s="8"/>
    </row>
    <row r="85" ht="22.5" customHeight="1">
      <c r="B85" s="5" t="s">
        <v>21</v>
      </c>
      <c r="C85" s="6">
        <v>30.0</v>
      </c>
      <c r="D85" s="7">
        <v>46143.0</v>
      </c>
      <c r="E85" s="8"/>
    </row>
    <row r="86" ht="22.5" customHeight="1">
      <c r="B86" s="5" t="s">
        <v>22</v>
      </c>
      <c r="C86" s="9"/>
      <c r="D86" s="7">
        <v>46143.0</v>
      </c>
      <c r="E86" s="8"/>
    </row>
    <row r="87" ht="22.5" customHeight="1">
      <c r="B87" s="5" t="s">
        <v>23</v>
      </c>
      <c r="C87" s="9"/>
      <c r="D87" s="7">
        <v>46143.0</v>
      </c>
      <c r="E87" s="8"/>
    </row>
    <row r="88" ht="22.5" customHeight="1">
      <c r="A88" s="10" t="s">
        <v>24</v>
      </c>
      <c r="B88" s="5" t="s">
        <v>23</v>
      </c>
      <c r="C88" s="6">
        <v>350.0</v>
      </c>
      <c r="D88" s="7">
        <v>46143.0</v>
      </c>
      <c r="E88" s="8"/>
    </row>
    <row r="89" ht="22.5" customHeight="1">
      <c r="B89" s="5" t="s">
        <v>5</v>
      </c>
      <c r="C89" s="9"/>
      <c r="D89" s="7">
        <v>46174.0</v>
      </c>
      <c r="E89" s="5" t="s">
        <v>9</v>
      </c>
    </row>
    <row r="90" ht="22.5" customHeight="1">
      <c r="B90" s="5" t="s">
        <v>7</v>
      </c>
      <c r="C90" s="9"/>
      <c r="D90" s="7">
        <v>46174.0</v>
      </c>
      <c r="E90" s="8"/>
    </row>
    <row r="91" ht="22.5" customHeight="1">
      <c r="B91" s="5" t="s">
        <v>8</v>
      </c>
      <c r="C91" s="9"/>
      <c r="D91" s="7">
        <v>46174.0</v>
      </c>
      <c r="E91" s="8"/>
    </row>
    <row r="92" ht="22.5" customHeight="1">
      <c r="B92" s="5" t="s">
        <v>10</v>
      </c>
      <c r="C92" s="9"/>
      <c r="D92" s="7">
        <v>46174.0</v>
      </c>
      <c r="E92" s="8"/>
    </row>
    <row r="93" ht="22.5" customHeight="1">
      <c r="B93" s="5" t="s">
        <v>11</v>
      </c>
      <c r="C93" s="9"/>
      <c r="D93" s="7">
        <v>46174.0</v>
      </c>
      <c r="E93" s="8"/>
    </row>
    <row r="94" ht="22.5" customHeight="1">
      <c r="B94" s="5" t="s">
        <v>12</v>
      </c>
      <c r="C94" s="9"/>
      <c r="D94" s="7">
        <v>46174.0</v>
      </c>
      <c r="E94" s="8"/>
    </row>
    <row r="95" ht="22.5" customHeight="1">
      <c r="B95" s="5" t="s">
        <v>13</v>
      </c>
      <c r="C95" s="6">
        <v>22.0</v>
      </c>
      <c r="D95" s="7">
        <v>46174.0</v>
      </c>
      <c r="E95" s="5" t="s">
        <v>9</v>
      </c>
    </row>
    <row r="96" ht="22.5" customHeight="1">
      <c r="B96" s="5" t="s">
        <v>14</v>
      </c>
      <c r="C96" s="9"/>
      <c r="D96" s="7">
        <v>46174.0</v>
      </c>
      <c r="E96" s="8"/>
    </row>
    <row r="97" ht="22.5" customHeight="1">
      <c r="B97" s="5" t="s">
        <v>15</v>
      </c>
      <c r="C97" s="9"/>
      <c r="D97" s="7">
        <v>46174.0</v>
      </c>
      <c r="E97" s="8"/>
    </row>
    <row r="98" ht="22.5" customHeight="1">
      <c r="B98" s="5" t="s">
        <v>16</v>
      </c>
      <c r="C98" s="9"/>
      <c r="D98" s="7">
        <v>46174.0</v>
      </c>
      <c r="E98" s="8"/>
    </row>
    <row r="99" ht="22.5" customHeight="1">
      <c r="B99" s="5" t="s">
        <v>17</v>
      </c>
      <c r="C99" s="9"/>
      <c r="D99" s="7">
        <v>46174.0</v>
      </c>
      <c r="E99" s="8"/>
    </row>
    <row r="100" ht="22.5" customHeight="1">
      <c r="B100" s="5" t="s">
        <v>18</v>
      </c>
      <c r="C100" s="9"/>
      <c r="D100" s="7">
        <v>46174.0</v>
      </c>
      <c r="E100" s="8"/>
    </row>
    <row r="101" ht="22.5" customHeight="1">
      <c r="B101" s="5" t="s">
        <v>19</v>
      </c>
      <c r="C101" s="6">
        <v>35.0</v>
      </c>
      <c r="D101" s="7">
        <v>46174.0</v>
      </c>
      <c r="E101" s="5" t="s">
        <v>9</v>
      </c>
    </row>
    <row r="102" ht="22.5" customHeight="1">
      <c r="B102" s="5" t="s">
        <v>21</v>
      </c>
      <c r="C102" s="9"/>
      <c r="D102" s="7">
        <v>46174.0</v>
      </c>
      <c r="E102" s="8"/>
    </row>
    <row r="103" ht="22.5" customHeight="1">
      <c r="B103" s="5" t="s">
        <v>22</v>
      </c>
      <c r="C103" s="9"/>
      <c r="D103" s="7">
        <v>46174.0</v>
      </c>
      <c r="E103" s="8"/>
    </row>
    <row r="104" ht="22.5" customHeight="1">
      <c r="B104" s="5" t="s">
        <v>23</v>
      </c>
      <c r="C104" s="9"/>
      <c r="D104" s="7">
        <v>46174.0</v>
      </c>
      <c r="E104" s="8"/>
    </row>
    <row r="105" ht="22.5" customHeight="1">
      <c r="B105" s="5" t="s">
        <v>20</v>
      </c>
      <c r="C105" s="6">
        <v>1450.0</v>
      </c>
      <c r="D105" s="7">
        <v>46178.0</v>
      </c>
      <c r="E105" s="8"/>
    </row>
    <row r="106" ht="22.5" customHeight="1">
      <c r="B106" s="5" t="s">
        <v>5</v>
      </c>
      <c r="C106" s="6">
        <v>120.0</v>
      </c>
      <c r="D106" s="7">
        <v>46204.0</v>
      </c>
      <c r="E106" s="5" t="s">
        <v>9</v>
      </c>
    </row>
    <row r="107" ht="22.5" customHeight="1">
      <c r="B107" s="5" t="s">
        <v>7</v>
      </c>
      <c r="C107" s="6">
        <v>30.0</v>
      </c>
      <c r="D107" s="7">
        <v>46204.0</v>
      </c>
      <c r="E107" s="5" t="s">
        <v>9</v>
      </c>
    </row>
    <row r="108" ht="22.5" customHeight="1">
      <c r="B108" s="5" t="s">
        <v>8</v>
      </c>
      <c r="C108" s="9"/>
      <c r="D108" s="7">
        <v>46204.0</v>
      </c>
      <c r="E108" s="8"/>
    </row>
    <row r="109" ht="22.5" customHeight="1">
      <c r="B109" s="5" t="s">
        <v>10</v>
      </c>
      <c r="C109" s="6">
        <v>200.0</v>
      </c>
      <c r="D109" s="7">
        <v>46204.0</v>
      </c>
      <c r="E109" s="5" t="s">
        <v>9</v>
      </c>
    </row>
    <row r="110" ht="22.5" customHeight="1">
      <c r="B110" s="5" t="s">
        <v>11</v>
      </c>
      <c r="C110" s="6">
        <v>100.0</v>
      </c>
      <c r="D110" s="7">
        <v>46204.0</v>
      </c>
      <c r="E110" s="5" t="s">
        <v>6</v>
      </c>
    </row>
    <row r="111" ht="22.5" customHeight="1">
      <c r="B111" s="5" t="s">
        <v>12</v>
      </c>
      <c r="C111" s="6">
        <v>12.0</v>
      </c>
      <c r="D111" s="7">
        <v>46204.0</v>
      </c>
      <c r="E111" s="5" t="s">
        <v>9</v>
      </c>
    </row>
    <row r="112" ht="22.5" customHeight="1">
      <c r="B112" s="5" t="s">
        <v>13</v>
      </c>
      <c r="C112" s="6">
        <v>120.0</v>
      </c>
      <c r="D112" s="7">
        <v>46204.0</v>
      </c>
      <c r="E112" s="5" t="s">
        <v>9</v>
      </c>
    </row>
    <row r="113" ht="22.5" customHeight="1">
      <c r="B113" s="5" t="s">
        <v>14</v>
      </c>
      <c r="C113" s="9"/>
      <c r="D113" s="7">
        <v>46204.0</v>
      </c>
      <c r="E113" s="8"/>
    </row>
    <row r="114" ht="22.5" customHeight="1">
      <c r="B114" s="5" t="s">
        <v>15</v>
      </c>
      <c r="C114" s="6">
        <v>399.0</v>
      </c>
      <c r="D114" s="7">
        <v>46204.0</v>
      </c>
      <c r="E114" s="5" t="s">
        <v>9</v>
      </c>
    </row>
    <row r="115" ht="22.5" customHeight="1">
      <c r="B115" s="5" t="s">
        <v>16</v>
      </c>
      <c r="C115" s="9"/>
      <c r="D115" s="7">
        <v>46204.0</v>
      </c>
      <c r="E115" s="8"/>
    </row>
    <row r="116" ht="22.5" customHeight="1">
      <c r="B116" s="5" t="s">
        <v>17</v>
      </c>
      <c r="C116" s="6">
        <v>20.0</v>
      </c>
      <c r="D116" s="7">
        <v>46204.0</v>
      </c>
      <c r="E116" s="5" t="s">
        <v>9</v>
      </c>
    </row>
    <row r="117" ht="22.5" customHeight="1">
      <c r="B117" s="5" t="s">
        <v>18</v>
      </c>
      <c r="C117" s="9"/>
      <c r="D117" s="7">
        <v>46204.0</v>
      </c>
      <c r="E117" s="8"/>
    </row>
    <row r="118" ht="22.5" customHeight="1">
      <c r="B118" s="5" t="s">
        <v>19</v>
      </c>
      <c r="C118" s="9"/>
      <c r="D118" s="7">
        <v>46204.0</v>
      </c>
      <c r="E118" s="8"/>
    </row>
    <row r="119" ht="22.5" customHeight="1">
      <c r="B119" s="5" t="s">
        <v>20</v>
      </c>
      <c r="C119" s="6">
        <v>1000.0</v>
      </c>
      <c r="D119" s="7">
        <v>46204.0</v>
      </c>
      <c r="E119" s="8"/>
    </row>
    <row r="120" ht="22.5" customHeight="1">
      <c r="B120" s="5" t="s">
        <v>21</v>
      </c>
      <c r="C120" s="9"/>
      <c r="D120" s="7">
        <v>46204.0</v>
      </c>
      <c r="E120" s="8"/>
    </row>
    <row r="121" ht="22.5" customHeight="1">
      <c r="B121" s="5" t="s">
        <v>22</v>
      </c>
      <c r="C121" s="9"/>
      <c r="D121" s="7">
        <v>46204.0</v>
      </c>
      <c r="E121" s="8"/>
    </row>
    <row r="122" ht="22.5" customHeight="1">
      <c r="B122" s="5" t="s">
        <v>23</v>
      </c>
      <c r="C122" s="9"/>
      <c r="D122" s="7">
        <v>46204.0</v>
      </c>
      <c r="E122" s="8"/>
    </row>
    <row r="123" ht="22.5" customHeight="1">
      <c r="B123" s="5" t="s">
        <v>5</v>
      </c>
      <c r="C123" s="9"/>
      <c r="D123" s="7">
        <v>46235.0</v>
      </c>
      <c r="E123" s="5" t="s">
        <v>9</v>
      </c>
    </row>
    <row r="124" ht="22.5" customHeight="1">
      <c r="B124" s="5" t="s">
        <v>7</v>
      </c>
      <c r="C124" s="9"/>
      <c r="D124" s="7">
        <v>46235.0</v>
      </c>
      <c r="E124" s="8"/>
    </row>
    <row r="125" ht="22.5" customHeight="1">
      <c r="B125" s="5" t="s">
        <v>8</v>
      </c>
      <c r="C125" s="9"/>
      <c r="D125" s="7">
        <v>46235.0</v>
      </c>
      <c r="E125" s="8"/>
    </row>
    <row r="126" ht="22.5" customHeight="1">
      <c r="B126" s="5" t="s">
        <v>10</v>
      </c>
      <c r="C126" s="9"/>
      <c r="D126" s="7">
        <v>46235.0</v>
      </c>
      <c r="E126" s="8"/>
    </row>
    <row r="127" ht="22.5" customHeight="1">
      <c r="B127" s="5" t="s">
        <v>11</v>
      </c>
      <c r="C127" s="9"/>
      <c r="D127" s="7">
        <v>46235.0</v>
      </c>
      <c r="E127" s="8"/>
    </row>
    <row r="128" ht="22.5" customHeight="1">
      <c r="B128" s="5" t="s">
        <v>12</v>
      </c>
      <c r="C128" s="9"/>
      <c r="D128" s="7">
        <v>46235.0</v>
      </c>
      <c r="E128" s="8"/>
    </row>
    <row r="129" ht="22.5" customHeight="1">
      <c r="B129" s="5" t="s">
        <v>13</v>
      </c>
      <c r="C129" s="9"/>
      <c r="D129" s="7">
        <v>46235.0</v>
      </c>
      <c r="E129" s="8"/>
    </row>
    <row r="130" ht="22.5" customHeight="1">
      <c r="B130" s="5" t="s">
        <v>14</v>
      </c>
      <c r="C130" s="6">
        <v>55.0</v>
      </c>
      <c r="D130" s="7">
        <v>46235.0</v>
      </c>
      <c r="E130" s="5" t="s">
        <v>9</v>
      </c>
    </row>
    <row r="131" ht="22.5" customHeight="1">
      <c r="B131" s="5" t="s">
        <v>15</v>
      </c>
      <c r="C131" s="9"/>
      <c r="D131" s="7">
        <v>46235.0</v>
      </c>
      <c r="E131" s="8"/>
    </row>
    <row r="132" ht="22.5" customHeight="1">
      <c r="B132" s="5" t="s">
        <v>16</v>
      </c>
      <c r="C132" s="9"/>
      <c r="D132" s="7">
        <v>46235.0</v>
      </c>
      <c r="E132" s="8"/>
    </row>
    <row r="133" ht="22.5" customHeight="1">
      <c r="B133" s="5" t="s">
        <v>17</v>
      </c>
      <c r="C133" s="9"/>
      <c r="D133" s="7">
        <v>46235.0</v>
      </c>
      <c r="E133" s="8"/>
    </row>
    <row r="134" ht="22.5" customHeight="1">
      <c r="B134" s="5" t="s">
        <v>18</v>
      </c>
      <c r="C134" s="6">
        <v>10.0</v>
      </c>
      <c r="D134" s="7">
        <v>46235.0</v>
      </c>
      <c r="E134" s="5" t="s">
        <v>9</v>
      </c>
    </row>
    <row r="135" ht="22.5" customHeight="1">
      <c r="B135" s="5" t="s">
        <v>19</v>
      </c>
      <c r="C135" s="9"/>
      <c r="D135" s="7">
        <v>46235.0</v>
      </c>
      <c r="E135" s="8"/>
    </row>
    <row r="136" ht="22.5" customHeight="1">
      <c r="B136" s="5" t="s">
        <v>20</v>
      </c>
      <c r="C136" s="6">
        <v>1250.0</v>
      </c>
      <c r="D136" s="7">
        <v>46235.0</v>
      </c>
      <c r="E136" s="8"/>
    </row>
    <row r="137" ht="22.5" customHeight="1">
      <c r="B137" s="5" t="s">
        <v>21</v>
      </c>
      <c r="C137" s="6">
        <v>60.0</v>
      </c>
      <c r="D137" s="7">
        <v>46235.0</v>
      </c>
      <c r="E137" s="8"/>
    </row>
    <row r="138" ht="22.5" customHeight="1">
      <c r="B138" s="5" t="s">
        <v>22</v>
      </c>
      <c r="C138" s="9"/>
      <c r="D138" s="7">
        <v>46235.0</v>
      </c>
      <c r="E138" s="8"/>
    </row>
    <row r="139" ht="22.5" customHeight="1">
      <c r="B139" s="5" t="s">
        <v>23</v>
      </c>
      <c r="C139" s="9"/>
      <c r="D139" s="7">
        <v>46235.0</v>
      </c>
      <c r="E139" s="8"/>
    </row>
    <row r="140" ht="22.5" customHeight="1">
      <c r="B140" s="5" t="s">
        <v>5</v>
      </c>
      <c r="C140" s="6">
        <v>150.0</v>
      </c>
      <c r="D140" s="7">
        <v>46266.0</v>
      </c>
      <c r="E140" s="5" t="s">
        <v>9</v>
      </c>
    </row>
    <row r="141" ht="22.5" customHeight="1">
      <c r="B141" s="5" t="s">
        <v>7</v>
      </c>
      <c r="C141" s="9"/>
      <c r="D141" s="7">
        <v>46266.0</v>
      </c>
      <c r="E141" s="8"/>
    </row>
    <row r="142" ht="22.5" customHeight="1">
      <c r="B142" s="5" t="s">
        <v>8</v>
      </c>
      <c r="C142" s="9"/>
      <c r="D142" s="7">
        <v>46266.0</v>
      </c>
      <c r="E142" s="8"/>
    </row>
    <row r="143" ht="22.5" customHeight="1">
      <c r="B143" s="5" t="s">
        <v>10</v>
      </c>
      <c r="C143" s="9"/>
      <c r="D143" s="7">
        <v>46266.0</v>
      </c>
      <c r="E143" s="8"/>
    </row>
    <row r="144" ht="22.5" customHeight="1">
      <c r="B144" s="5" t="s">
        <v>11</v>
      </c>
      <c r="C144" s="9"/>
      <c r="D144" s="7">
        <v>46266.0</v>
      </c>
      <c r="E144" s="8"/>
    </row>
    <row r="145" ht="22.5" customHeight="1">
      <c r="B145" s="5" t="s">
        <v>12</v>
      </c>
      <c r="C145" s="9"/>
      <c r="D145" s="7">
        <v>46266.0</v>
      </c>
      <c r="E145" s="8"/>
    </row>
    <row r="146" ht="22.5" customHeight="1">
      <c r="B146" s="5" t="s">
        <v>13</v>
      </c>
      <c r="C146" s="9"/>
      <c r="D146" s="7">
        <v>46266.0</v>
      </c>
      <c r="E146" s="8"/>
    </row>
    <row r="147" ht="22.5" customHeight="1">
      <c r="B147" s="5" t="s">
        <v>14</v>
      </c>
      <c r="C147" s="9"/>
      <c r="D147" s="7">
        <v>46266.0</v>
      </c>
      <c r="E147" s="8"/>
    </row>
    <row r="148" ht="22.5" customHeight="1">
      <c r="B148" s="5" t="s">
        <v>15</v>
      </c>
      <c r="C148" s="6">
        <v>230.0</v>
      </c>
      <c r="D148" s="7">
        <v>46266.0</v>
      </c>
      <c r="E148" s="5" t="s">
        <v>6</v>
      </c>
    </row>
    <row r="149" ht="22.5" customHeight="1">
      <c r="B149" s="5" t="s">
        <v>16</v>
      </c>
      <c r="C149" s="9"/>
      <c r="D149" s="7">
        <v>46266.0</v>
      </c>
      <c r="E149" s="8"/>
    </row>
    <row r="150" ht="22.5" customHeight="1">
      <c r="B150" s="5" t="s">
        <v>17</v>
      </c>
      <c r="C150" s="9"/>
      <c r="D150" s="7">
        <v>46266.0</v>
      </c>
      <c r="E150" s="8"/>
    </row>
    <row r="151" ht="22.5" customHeight="1">
      <c r="B151" s="5" t="s">
        <v>18</v>
      </c>
      <c r="C151" s="9"/>
      <c r="D151" s="7">
        <v>46266.0</v>
      </c>
      <c r="E151" s="8"/>
    </row>
    <row r="152" ht="22.5" customHeight="1">
      <c r="B152" s="5" t="s">
        <v>19</v>
      </c>
      <c r="C152" s="9"/>
      <c r="D152" s="7">
        <v>46266.0</v>
      </c>
      <c r="E152" s="8"/>
    </row>
    <row r="153" ht="22.5" customHeight="1">
      <c r="B153" s="5" t="s">
        <v>20</v>
      </c>
      <c r="C153" s="6">
        <v>1500.0</v>
      </c>
      <c r="D153" s="7">
        <v>46266.0</v>
      </c>
      <c r="E153" s="8"/>
    </row>
    <row r="154" ht="22.5" customHeight="1">
      <c r="B154" s="5" t="s">
        <v>21</v>
      </c>
      <c r="C154" s="9"/>
      <c r="D154" s="7">
        <v>46266.0</v>
      </c>
      <c r="E154" s="8"/>
    </row>
    <row r="155" ht="22.5" customHeight="1">
      <c r="B155" s="5" t="s">
        <v>22</v>
      </c>
      <c r="C155" s="9"/>
      <c r="D155" s="7">
        <v>46266.0</v>
      </c>
      <c r="E155" s="8"/>
    </row>
    <row r="156" ht="22.5" customHeight="1">
      <c r="B156" s="5" t="s">
        <v>23</v>
      </c>
      <c r="C156" s="9"/>
      <c r="D156" s="7">
        <v>46266.0</v>
      </c>
      <c r="E156" s="8"/>
    </row>
    <row r="157" ht="22.5" customHeight="1">
      <c r="B157" s="5" t="s">
        <v>5</v>
      </c>
      <c r="C157" s="9"/>
      <c r="D157" s="7">
        <v>46296.0</v>
      </c>
      <c r="E157" s="5" t="s">
        <v>9</v>
      </c>
    </row>
    <row r="158" ht="22.5" customHeight="1">
      <c r="B158" s="5" t="s">
        <v>7</v>
      </c>
      <c r="C158" s="9"/>
      <c r="D158" s="7">
        <v>46296.0</v>
      </c>
      <c r="E158" s="8"/>
    </row>
    <row r="159" ht="22.5" customHeight="1">
      <c r="B159" s="5" t="s">
        <v>8</v>
      </c>
      <c r="C159" s="9"/>
      <c r="D159" s="7">
        <v>46296.0</v>
      </c>
      <c r="E159" s="8"/>
    </row>
    <row r="160" ht="22.5" customHeight="1">
      <c r="B160" s="5" t="s">
        <v>10</v>
      </c>
      <c r="C160" s="6">
        <v>100.0</v>
      </c>
      <c r="D160" s="7">
        <v>46296.0</v>
      </c>
      <c r="E160" s="5" t="s">
        <v>9</v>
      </c>
    </row>
    <row r="161" ht="22.5" customHeight="1">
      <c r="B161" s="5" t="s">
        <v>11</v>
      </c>
      <c r="C161" s="6">
        <v>175.0</v>
      </c>
      <c r="D161" s="7">
        <v>46296.0</v>
      </c>
      <c r="E161" s="5" t="s">
        <v>6</v>
      </c>
    </row>
    <row r="162" ht="22.5" customHeight="1">
      <c r="B162" s="5" t="s">
        <v>12</v>
      </c>
      <c r="C162" s="9"/>
      <c r="D162" s="7">
        <v>46296.0</v>
      </c>
      <c r="E162" s="8"/>
    </row>
    <row r="163" ht="22.5" customHeight="1">
      <c r="B163" s="5" t="s">
        <v>13</v>
      </c>
      <c r="C163" s="9"/>
      <c r="D163" s="7">
        <v>46296.0</v>
      </c>
      <c r="E163" s="8"/>
    </row>
    <row r="164" ht="22.5" customHeight="1">
      <c r="B164" s="5" t="s">
        <v>14</v>
      </c>
      <c r="C164" s="6">
        <v>1500.0</v>
      </c>
      <c r="D164" s="7">
        <v>46296.0</v>
      </c>
      <c r="E164" s="5" t="s">
        <v>6</v>
      </c>
    </row>
    <row r="165" ht="22.5" customHeight="1">
      <c r="B165" s="5" t="s">
        <v>15</v>
      </c>
      <c r="C165" s="6">
        <v>115.0</v>
      </c>
      <c r="D165" s="7">
        <v>46296.0</v>
      </c>
      <c r="E165" s="5" t="s">
        <v>6</v>
      </c>
    </row>
    <row r="166" ht="22.5" customHeight="1">
      <c r="B166" s="5" t="s">
        <v>16</v>
      </c>
      <c r="C166" s="9"/>
      <c r="D166" s="7">
        <v>46296.0</v>
      </c>
      <c r="E166" s="8"/>
    </row>
    <row r="167" ht="22.5" customHeight="1">
      <c r="B167" s="5" t="s">
        <v>17</v>
      </c>
      <c r="C167" s="9"/>
      <c r="D167" s="7">
        <v>46296.0</v>
      </c>
      <c r="E167" s="8"/>
    </row>
    <row r="168" ht="22.5" customHeight="1">
      <c r="B168" s="5" t="s">
        <v>18</v>
      </c>
      <c r="C168" s="6">
        <v>10.0</v>
      </c>
      <c r="D168" s="7">
        <v>46296.0</v>
      </c>
      <c r="E168" s="5" t="s">
        <v>9</v>
      </c>
    </row>
    <row r="169" ht="22.5" customHeight="1">
      <c r="B169" s="5" t="s">
        <v>19</v>
      </c>
      <c r="C169" s="9"/>
      <c r="D169" s="7">
        <v>46296.0</v>
      </c>
      <c r="E169" s="8"/>
    </row>
    <row r="170" ht="22.5" customHeight="1">
      <c r="B170" s="5" t="s">
        <v>20</v>
      </c>
      <c r="C170" s="6">
        <v>1600.0</v>
      </c>
      <c r="D170" s="7">
        <v>46296.0</v>
      </c>
      <c r="E170" s="8"/>
    </row>
    <row r="171" ht="22.5" customHeight="1">
      <c r="B171" s="5" t="s">
        <v>21</v>
      </c>
      <c r="C171" s="6">
        <v>20.0</v>
      </c>
      <c r="D171" s="7">
        <v>46296.0</v>
      </c>
      <c r="E171" s="8"/>
    </row>
    <row r="172" ht="22.5" customHeight="1">
      <c r="B172" s="5" t="s">
        <v>22</v>
      </c>
      <c r="C172" s="9"/>
      <c r="D172" s="7">
        <v>46296.0</v>
      </c>
      <c r="E172" s="8"/>
    </row>
    <row r="173" ht="22.5" customHeight="1">
      <c r="B173" s="5" t="s">
        <v>23</v>
      </c>
      <c r="C173" s="9"/>
      <c r="D173" s="7">
        <v>46296.0</v>
      </c>
      <c r="E173" s="8"/>
    </row>
    <row r="174" ht="22.5" customHeight="1">
      <c r="B174" s="5" t="s">
        <v>5</v>
      </c>
      <c r="C174" s="9"/>
      <c r="D174" s="7">
        <v>46327.0</v>
      </c>
      <c r="E174" s="5" t="s">
        <v>9</v>
      </c>
    </row>
    <row r="175" ht="22.5" customHeight="1">
      <c r="B175" s="5" t="s">
        <v>7</v>
      </c>
      <c r="C175" s="9"/>
      <c r="D175" s="7">
        <v>46327.0</v>
      </c>
      <c r="E175" s="8"/>
    </row>
    <row r="176" ht="22.5" customHeight="1">
      <c r="B176" s="5" t="s">
        <v>8</v>
      </c>
      <c r="C176" s="9"/>
      <c r="D176" s="7">
        <v>46327.0</v>
      </c>
      <c r="E176" s="8"/>
    </row>
    <row r="177" ht="22.5" customHeight="1">
      <c r="B177" s="5" t="s">
        <v>10</v>
      </c>
      <c r="C177" s="9"/>
      <c r="D177" s="7">
        <v>46327.0</v>
      </c>
      <c r="E177" s="8"/>
    </row>
    <row r="178" ht="22.5" customHeight="1">
      <c r="B178" s="5" t="s">
        <v>11</v>
      </c>
      <c r="C178" s="9"/>
      <c r="D178" s="7">
        <v>46327.0</v>
      </c>
      <c r="E178" s="8"/>
    </row>
    <row r="179" ht="22.5" customHeight="1">
      <c r="B179" s="5" t="s">
        <v>12</v>
      </c>
      <c r="C179" s="6">
        <v>12.0</v>
      </c>
      <c r="D179" s="7">
        <v>46327.0</v>
      </c>
      <c r="E179" s="5" t="s">
        <v>9</v>
      </c>
    </row>
    <row r="180" ht="22.5" customHeight="1">
      <c r="B180" s="5" t="s">
        <v>13</v>
      </c>
      <c r="C180" s="9"/>
      <c r="D180" s="7">
        <v>46327.0</v>
      </c>
      <c r="E180" s="8"/>
    </row>
    <row r="181" ht="22.5" customHeight="1">
      <c r="B181" s="5" t="s">
        <v>14</v>
      </c>
      <c r="C181" s="9"/>
      <c r="D181" s="7">
        <v>46327.0</v>
      </c>
      <c r="E181" s="8"/>
    </row>
    <row r="182" ht="22.5" customHeight="1">
      <c r="B182" s="5" t="s">
        <v>15</v>
      </c>
      <c r="C182" s="6">
        <v>200.0</v>
      </c>
      <c r="D182" s="7">
        <v>46327.0</v>
      </c>
      <c r="E182" s="5" t="s">
        <v>9</v>
      </c>
    </row>
    <row r="183" ht="22.5" customHeight="1">
      <c r="B183" s="5" t="s">
        <v>16</v>
      </c>
      <c r="C183" s="9"/>
      <c r="D183" s="7">
        <v>46327.0</v>
      </c>
      <c r="E183" s="8"/>
    </row>
    <row r="184" ht="22.5" customHeight="1">
      <c r="B184" s="5" t="s">
        <v>17</v>
      </c>
      <c r="C184" s="9"/>
      <c r="D184" s="7">
        <v>46327.0</v>
      </c>
      <c r="E184" s="8"/>
    </row>
    <row r="185" ht="22.5" customHeight="1">
      <c r="B185" s="5" t="s">
        <v>18</v>
      </c>
      <c r="C185" s="9"/>
      <c r="D185" s="7">
        <v>46327.0</v>
      </c>
      <c r="E185" s="8"/>
    </row>
    <row r="186" ht="22.5" customHeight="1">
      <c r="B186" s="5" t="s">
        <v>19</v>
      </c>
      <c r="C186" s="9"/>
      <c r="D186" s="7">
        <v>46327.0</v>
      </c>
      <c r="E186" s="8"/>
    </row>
    <row r="187" ht="22.5" customHeight="1">
      <c r="B187" s="5" t="s">
        <v>20</v>
      </c>
      <c r="C187" s="6">
        <v>1150.0</v>
      </c>
      <c r="D187" s="7">
        <v>46327.0</v>
      </c>
      <c r="E187" s="8"/>
    </row>
    <row r="188" ht="22.5" customHeight="1">
      <c r="B188" s="5" t="s">
        <v>21</v>
      </c>
      <c r="C188" s="9"/>
      <c r="D188" s="7">
        <v>46327.0</v>
      </c>
      <c r="E188" s="8"/>
    </row>
    <row r="189" ht="22.5" customHeight="1">
      <c r="B189" s="5" t="s">
        <v>22</v>
      </c>
      <c r="C189" s="9"/>
      <c r="D189" s="7">
        <v>46327.0</v>
      </c>
      <c r="E189" s="8"/>
    </row>
    <row r="190" ht="22.5" customHeight="1">
      <c r="B190" s="5" t="s">
        <v>23</v>
      </c>
      <c r="C190" s="9"/>
      <c r="D190" s="7">
        <v>46327.0</v>
      </c>
      <c r="E190" s="8"/>
    </row>
    <row r="191" ht="22.5" customHeight="1">
      <c r="B191" s="5" t="s">
        <v>5</v>
      </c>
      <c r="C191" s="9"/>
      <c r="D191" s="7">
        <v>46357.0</v>
      </c>
      <c r="E191" s="8"/>
    </row>
    <row r="192" ht="22.5" customHeight="1">
      <c r="B192" s="5" t="s">
        <v>7</v>
      </c>
      <c r="C192" s="9"/>
      <c r="D192" s="7">
        <v>46357.0</v>
      </c>
      <c r="E192" s="8"/>
    </row>
    <row r="193" ht="22.5" customHeight="1">
      <c r="B193" s="5" t="s">
        <v>8</v>
      </c>
      <c r="C193" s="6">
        <v>120.0</v>
      </c>
      <c r="D193" s="7">
        <v>46357.0</v>
      </c>
      <c r="E193" s="5" t="s">
        <v>9</v>
      </c>
    </row>
    <row r="194" ht="22.5" customHeight="1">
      <c r="B194" s="5" t="s">
        <v>10</v>
      </c>
      <c r="C194" s="9"/>
      <c r="D194" s="7">
        <v>46357.0</v>
      </c>
      <c r="E194" s="8"/>
    </row>
    <row r="195" ht="22.5" customHeight="1">
      <c r="B195" s="5" t="s">
        <v>11</v>
      </c>
      <c r="C195" s="9"/>
      <c r="D195" s="7">
        <v>46357.0</v>
      </c>
      <c r="E195" s="8"/>
    </row>
    <row r="196" ht="22.5" customHeight="1">
      <c r="B196" s="5" t="s">
        <v>12</v>
      </c>
      <c r="C196" s="9"/>
      <c r="D196" s="7">
        <v>46357.0</v>
      </c>
      <c r="E196" s="8"/>
    </row>
    <row r="197" ht="22.5" customHeight="1">
      <c r="B197" s="5" t="s">
        <v>13</v>
      </c>
      <c r="C197" s="9"/>
      <c r="D197" s="7">
        <v>46357.0</v>
      </c>
      <c r="E197" s="8"/>
    </row>
    <row r="198" ht="22.5" customHeight="1">
      <c r="B198" s="5" t="s">
        <v>14</v>
      </c>
      <c r="C198" s="6">
        <v>45.0</v>
      </c>
      <c r="D198" s="7">
        <v>46357.0</v>
      </c>
      <c r="E198" s="5" t="s">
        <v>9</v>
      </c>
    </row>
    <row r="199" ht="22.5" customHeight="1">
      <c r="B199" s="5" t="s">
        <v>15</v>
      </c>
      <c r="C199" s="6">
        <v>250.0</v>
      </c>
      <c r="D199" s="7">
        <v>46357.0</v>
      </c>
      <c r="E199" s="5" t="s">
        <v>6</v>
      </c>
    </row>
    <row r="200" ht="22.5" customHeight="1">
      <c r="B200" s="5" t="s">
        <v>16</v>
      </c>
      <c r="C200" s="6">
        <v>110.0</v>
      </c>
      <c r="D200" s="7">
        <v>46357.0</v>
      </c>
      <c r="E200" s="5" t="s">
        <v>9</v>
      </c>
    </row>
    <row r="201" ht="22.5" customHeight="1">
      <c r="B201" s="5" t="s">
        <v>17</v>
      </c>
      <c r="C201" s="9"/>
      <c r="D201" s="7">
        <v>46357.0</v>
      </c>
      <c r="E201" s="8"/>
    </row>
    <row r="202" ht="22.5" customHeight="1">
      <c r="B202" s="5" t="s">
        <v>18</v>
      </c>
      <c r="C202" s="9"/>
      <c r="D202" s="7">
        <v>46357.0</v>
      </c>
      <c r="E202" s="8"/>
    </row>
    <row r="203" ht="22.5" customHeight="1">
      <c r="B203" s="5" t="s">
        <v>19</v>
      </c>
      <c r="C203" s="6">
        <v>25.0</v>
      </c>
      <c r="D203" s="7">
        <v>46357.0</v>
      </c>
      <c r="E203" s="5" t="s">
        <v>9</v>
      </c>
    </row>
    <row r="204" ht="22.5" customHeight="1">
      <c r="B204" s="5" t="s">
        <v>20</v>
      </c>
      <c r="C204" s="6">
        <v>1450.0</v>
      </c>
      <c r="D204" s="7">
        <v>46357.0</v>
      </c>
      <c r="E204" s="8"/>
    </row>
    <row r="205" ht="22.5" customHeight="1">
      <c r="B205" s="5" t="s">
        <v>21</v>
      </c>
      <c r="C205" s="9"/>
      <c r="D205" s="7">
        <v>46357.0</v>
      </c>
      <c r="E205" s="8"/>
    </row>
    <row r="206" ht="22.5" customHeight="1">
      <c r="B206" s="5" t="s">
        <v>22</v>
      </c>
      <c r="C206" s="9"/>
      <c r="D206" s="7">
        <v>46357.0</v>
      </c>
      <c r="E206" s="8"/>
    </row>
    <row r="207" ht="22.5" customHeight="1">
      <c r="B207" s="5" t="s">
        <v>23</v>
      </c>
      <c r="C207" s="9"/>
      <c r="D207" s="7">
        <v>46357.0</v>
      </c>
      <c r="E207" s="8"/>
    </row>
    <row r="208" ht="22.5" customHeight="1">
      <c r="B208" s="5" t="s">
        <v>15</v>
      </c>
      <c r="C208" s="9"/>
      <c r="D208" s="7"/>
      <c r="E208" s="8"/>
    </row>
    <row r="209" ht="22.5" customHeight="1">
      <c r="B209" s="5" t="s">
        <v>15</v>
      </c>
      <c r="C209" s="9"/>
      <c r="D209" s="7"/>
      <c r="E209" s="8"/>
    </row>
    <row r="210" ht="22.5" customHeight="1">
      <c r="B210" s="5" t="s">
        <v>10</v>
      </c>
      <c r="C210" s="9"/>
      <c r="D210" s="7"/>
      <c r="E210" s="8"/>
    </row>
    <row r="211" ht="22.5" customHeight="1">
      <c r="B211" s="5" t="s">
        <v>10</v>
      </c>
      <c r="C211" s="9"/>
      <c r="D211" s="7"/>
      <c r="E211" s="8"/>
    </row>
    <row r="212" ht="22.5" customHeight="1">
      <c r="B212" s="5" t="s">
        <v>23</v>
      </c>
      <c r="C212" s="9"/>
      <c r="D212" s="7"/>
      <c r="E212" s="8"/>
    </row>
    <row r="213" ht="22.5" customHeight="1">
      <c r="B213" s="5" t="s">
        <v>23</v>
      </c>
      <c r="C213" s="9"/>
      <c r="D213" s="7"/>
      <c r="E213" s="8"/>
    </row>
    <row r="214" ht="22.5" customHeight="1">
      <c r="B214" s="5" t="s">
        <v>14</v>
      </c>
      <c r="C214" s="9"/>
      <c r="D214" s="7"/>
      <c r="E214" s="8"/>
    </row>
    <row r="215" ht="22.5" customHeight="1">
      <c r="B215" s="5" t="s">
        <v>19</v>
      </c>
      <c r="C215" s="9"/>
      <c r="D215" s="7"/>
      <c r="E215" s="8"/>
    </row>
    <row r="216" ht="22.5" customHeight="1">
      <c r="B216" s="5" t="s">
        <v>22</v>
      </c>
      <c r="C216" s="9"/>
      <c r="D216" s="7"/>
      <c r="E216" s="8"/>
    </row>
    <row r="217" ht="22.5" customHeight="1">
      <c r="B217" s="5" t="s">
        <v>16</v>
      </c>
      <c r="C217" s="9"/>
      <c r="D217" s="7"/>
      <c r="E217" s="8"/>
    </row>
    <row r="218" ht="22.5" customHeight="1">
      <c r="B218" s="11"/>
      <c r="C218" s="9"/>
      <c r="D218" s="7"/>
      <c r="E218" s="8"/>
    </row>
    <row r="219" ht="22.5" customHeight="1">
      <c r="B219" s="11"/>
      <c r="C219" s="9"/>
      <c r="D219" s="12"/>
      <c r="E219" s="13"/>
    </row>
    <row r="220" ht="22.5" customHeight="1">
      <c r="B220" s="11"/>
      <c r="C220" s="9"/>
      <c r="D220" s="12"/>
      <c r="E220" s="13"/>
    </row>
    <row r="221" ht="22.5" customHeight="1">
      <c r="B221" s="11"/>
      <c r="C221" s="9"/>
      <c r="D221" s="12"/>
      <c r="E221" s="13"/>
    </row>
    <row r="222" ht="22.5" customHeight="1">
      <c r="B222" s="11"/>
      <c r="C222" s="9"/>
      <c r="D222" s="12"/>
      <c r="E222" s="13"/>
    </row>
    <row r="223" ht="22.5" customHeight="1">
      <c r="B223" s="11"/>
      <c r="C223" s="9"/>
      <c r="D223" s="12"/>
      <c r="E223" s="13"/>
    </row>
    <row r="224" ht="22.5" customHeight="1">
      <c r="B224" s="11"/>
      <c r="C224" s="9"/>
      <c r="D224" s="12"/>
      <c r="E224" s="13"/>
    </row>
    <row r="225" ht="22.5" customHeight="1">
      <c r="B225" s="11"/>
      <c r="C225" s="9"/>
      <c r="D225" s="12"/>
      <c r="E225" s="13"/>
    </row>
    <row r="226" ht="22.5" customHeight="1">
      <c r="B226" s="11"/>
      <c r="C226" s="9"/>
      <c r="D226" s="12"/>
      <c r="E226" s="13"/>
    </row>
    <row r="227" ht="22.5" customHeight="1">
      <c r="B227" s="11"/>
      <c r="C227" s="9"/>
      <c r="D227" s="12"/>
      <c r="E227" s="13"/>
    </row>
    <row r="228" ht="22.5" customHeight="1">
      <c r="B228" s="11"/>
      <c r="C228" s="9"/>
      <c r="D228" s="12"/>
      <c r="E228" s="13"/>
    </row>
    <row r="229" ht="22.5" customHeight="1">
      <c r="B229" s="11"/>
      <c r="C229" s="9"/>
      <c r="D229" s="12"/>
      <c r="E229" s="13"/>
    </row>
    <row r="230" ht="22.5" customHeight="1">
      <c r="B230" s="11"/>
      <c r="C230" s="9"/>
      <c r="D230" s="12"/>
      <c r="E230" s="13"/>
    </row>
    <row r="231" ht="22.5" customHeight="1">
      <c r="B231" s="11"/>
      <c r="C231" s="9"/>
      <c r="D231" s="12"/>
      <c r="E231" s="13"/>
    </row>
    <row r="232" ht="22.5" customHeight="1">
      <c r="B232" s="11"/>
      <c r="C232" s="9"/>
      <c r="D232" s="12"/>
      <c r="E232" s="13"/>
    </row>
    <row r="233" ht="22.5" customHeight="1">
      <c r="B233" s="11"/>
      <c r="C233" s="9"/>
      <c r="D233" s="12"/>
      <c r="E233" s="13"/>
    </row>
    <row r="234" ht="22.5" customHeight="1">
      <c r="B234" s="11"/>
      <c r="C234" s="9"/>
      <c r="D234" s="12"/>
      <c r="E234" s="13"/>
    </row>
    <row r="235" ht="22.5" customHeight="1">
      <c r="B235" s="11"/>
      <c r="C235" s="9"/>
      <c r="D235" s="12"/>
      <c r="E235" s="13"/>
    </row>
    <row r="236" ht="22.5" customHeight="1">
      <c r="B236" s="11"/>
      <c r="C236" s="9"/>
      <c r="D236" s="12"/>
      <c r="E236" s="13"/>
    </row>
    <row r="237" ht="22.5" customHeight="1">
      <c r="B237" s="11"/>
      <c r="C237" s="9"/>
      <c r="D237" s="12"/>
      <c r="E237" s="13"/>
    </row>
    <row r="238" ht="22.5" customHeight="1">
      <c r="B238" s="11"/>
      <c r="C238" s="9"/>
      <c r="D238" s="12"/>
      <c r="E238" s="13"/>
    </row>
    <row r="239" ht="22.5" customHeight="1">
      <c r="B239" s="11"/>
      <c r="C239" s="9"/>
      <c r="D239" s="12"/>
      <c r="E239" s="13"/>
    </row>
    <row r="240" ht="22.5" customHeight="1">
      <c r="B240" s="11"/>
      <c r="C240" s="9"/>
      <c r="D240" s="12"/>
      <c r="E240" s="13"/>
    </row>
    <row r="241" ht="22.5" customHeight="1">
      <c r="B241" s="11"/>
      <c r="C241" s="9"/>
      <c r="D241" s="12"/>
      <c r="E241" s="13"/>
    </row>
    <row r="242" ht="22.5" customHeight="1">
      <c r="B242" s="11"/>
      <c r="C242" s="9"/>
      <c r="D242" s="12"/>
      <c r="E242" s="13"/>
    </row>
    <row r="243" ht="22.5" customHeight="1">
      <c r="B243" s="11"/>
      <c r="C243" s="9"/>
      <c r="D243" s="12"/>
      <c r="E243" s="13"/>
    </row>
    <row r="244" ht="22.5" customHeight="1">
      <c r="B244" s="11"/>
      <c r="C244" s="9"/>
      <c r="D244" s="12"/>
      <c r="E244" s="13"/>
    </row>
    <row r="245" ht="22.5" customHeight="1">
      <c r="B245" s="11"/>
      <c r="C245" s="9"/>
      <c r="D245" s="12"/>
      <c r="E245" s="13"/>
    </row>
    <row r="246" ht="22.5" customHeight="1">
      <c r="B246" s="11"/>
      <c r="C246" s="9"/>
      <c r="D246" s="12"/>
      <c r="E246" s="13"/>
    </row>
    <row r="247" ht="22.5" customHeight="1">
      <c r="B247" s="11"/>
      <c r="C247" s="9"/>
      <c r="D247" s="12"/>
      <c r="E247" s="13"/>
    </row>
    <row r="248" ht="22.5" customHeight="1">
      <c r="B248" s="11"/>
      <c r="C248" s="9"/>
      <c r="D248" s="12"/>
      <c r="E248" s="13"/>
    </row>
    <row r="249" ht="22.5" customHeight="1">
      <c r="B249" s="11"/>
      <c r="C249" s="9"/>
      <c r="D249" s="12"/>
      <c r="E249" s="13"/>
    </row>
    <row r="250" ht="22.5" customHeight="1">
      <c r="B250" s="11"/>
      <c r="C250" s="9"/>
      <c r="D250" s="12"/>
      <c r="E250" s="13"/>
    </row>
    <row r="251" ht="22.5" customHeight="1">
      <c r="B251" s="11"/>
      <c r="C251" s="9"/>
      <c r="D251" s="12"/>
      <c r="E251" s="13"/>
    </row>
    <row r="252" ht="22.5" customHeight="1">
      <c r="B252" s="11"/>
      <c r="C252" s="9"/>
      <c r="D252" s="12"/>
      <c r="E252" s="13"/>
    </row>
    <row r="253" ht="22.5" customHeight="1">
      <c r="B253" s="11"/>
      <c r="C253" s="9"/>
      <c r="D253" s="12"/>
      <c r="E253" s="13"/>
    </row>
    <row r="254" ht="22.5" customHeight="1">
      <c r="B254" s="11"/>
      <c r="C254" s="9"/>
      <c r="D254" s="12"/>
      <c r="E254" s="13"/>
    </row>
    <row r="255" ht="22.5" customHeight="1">
      <c r="B255" s="11"/>
      <c r="C255" s="9"/>
      <c r="D255" s="12"/>
      <c r="E255" s="13"/>
    </row>
    <row r="256" ht="22.5" customHeight="1">
      <c r="B256" s="11"/>
      <c r="C256" s="9"/>
      <c r="D256" s="12"/>
      <c r="E256" s="13"/>
    </row>
    <row r="257" ht="22.5" customHeight="1">
      <c r="B257" s="11"/>
      <c r="C257" s="9"/>
      <c r="D257" s="12"/>
      <c r="E257" s="13"/>
    </row>
    <row r="258" ht="22.5" customHeight="1">
      <c r="B258" s="11"/>
      <c r="C258" s="9"/>
      <c r="D258" s="12"/>
      <c r="E258" s="13"/>
    </row>
    <row r="259" ht="22.5" customHeight="1">
      <c r="B259" s="11"/>
      <c r="C259" s="9"/>
      <c r="D259" s="12"/>
      <c r="E259" s="13"/>
    </row>
    <row r="260" ht="22.5" customHeight="1">
      <c r="B260" s="11"/>
      <c r="C260" s="9"/>
      <c r="D260" s="12"/>
      <c r="E260" s="13"/>
    </row>
    <row r="261" ht="22.5" customHeight="1">
      <c r="B261" s="11"/>
      <c r="C261" s="9"/>
      <c r="D261" s="12"/>
      <c r="E261" s="13"/>
    </row>
    <row r="262" ht="22.5" customHeight="1">
      <c r="B262" s="11"/>
      <c r="C262" s="9"/>
      <c r="D262" s="12"/>
      <c r="E262" s="13"/>
    </row>
    <row r="263" ht="22.5" customHeight="1">
      <c r="B263" s="11"/>
      <c r="C263" s="9"/>
      <c r="D263" s="12"/>
      <c r="E263" s="13"/>
    </row>
    <row r="264" ht="22.5" customHeight="1">
      <c r="B264" s="11"/>
      <c r="C264" s="9"/>
      <c r="D264" s="12"/>
      <c r="E264" s="13"/>
    </row>
    <row r="265" ht="22.5" customHeight="1">
      <c r="B265" s="11"/>
      <c r="C265" s="9"/>
      <c r="D265" s="12"/>
      <c r="E265" s="13"/>
    </row>
    <row r="266" ht="22.5" customHeight="1">
      <c r="B266" s="11"/>
      <c r="C266" s="9"/>
      <c r="D266" s="12"/>
      <c r="E266" s="13"/>
    </row>
    <row r="267" ht="22.5" customHeight="1">
      <c r="B267" s="11"/>
      <c r="C267" s="9"/>
      <c r="D267" s="12"/>
      <c r="E267" s="13"/>
    </row>
    <row r="268" ht="22.5" customHeight="1">
      <c r="B268" s="11"/>
      <c r="C268" s="9"/>
      <c r="D268" s="12"/>
      <c r="E268" s="13"/>
    </row>
    <row r="269" ht="22.5" customHeight="1">
      <c r="B269" s="11"/>
      <c r="C269" s="9"/>
      <c r="D269" s="12"/>
      <c r="E269" s="13"/>
    </row>
    <row r="270" ht="22.5" customHeight="1">
      <c r="B270" s="11"/>
      <c r="C270" s="9"/>
      <c r="D270" s="12"/>
      <c r="E270" s="13"/>
    </row>
    <row r="271" ht="22.5" customHeight="1">
      <c r="B271" s="11"/>
      <c r="C271" s="9"/>
      <c r="D271" s="12"/>
      <c r="E271" s="13"/>
    </row>
    <row r="272" ht="22.5" customHeight="1">
      <c r="B272" s="11"/>
      <c r="C272" s="9"/>
      <c r="D272" s="12"/>
      <c r="E272" s="13"/>
    </row>
    <row r="273" ht="22.5" customHeight="1">
      <c r="B273" s="11"/>
      <c r="C273" s="9"/>
      <c r="D273" s="12"/>
      <c r="E273" s="13"/>
    </row>
    <row r="274" ht="22.5" customHeight="1">
      <c r="B274" s="11"/>
      <c r="C274" s="9"/>
      <c r="D274" s="12"/>
      <c r="E274" s="13"/>
    </row>
    <row r="275" ht="22.5" customHeight="1">
      <c r="B275" s="11"/>
      <c r="C275" s="9"/>
      <c r="D275" s="12"/>
      <c r="E275" s="13"/>
    </row>
    <row r="276" ht="22.5" customHeight="1">
      <c r="B276" s="11"/>
      <c r="C276" s="9"/>
      <c r="D276" s="12"/>
      <c r="E276" s="13"/>
    </row>
    <row r="277" ht="22.5" customHeight="1">
      <c r="B277" s="11"/>
      <c r="C277" s="9"/>
      <c r="D277" s="12"/>
      <c r="E277" s="13"/>
    </row>
    <row r="278" ht="22.5" customHeight="1">
      <c r="B278" s="11"/>
      <c r="C278" s="9"/>
      <c r="D278" s="12"/>
      <c r="E278" s="13"/>
    </row>
    <row r="279" ht="22.5" customHeight="1">
      <c r="B279" s="11"/>
      <c r="C279" s="9"/>
      <c r="D279" s="12"/>
      <c r="E279" s="13"/>
    </row>
    <row r="280" ht="22.5" customHeight="1">
      <c r="B280" s="11"/>
      <c r="C280" s="9"/>
      <c r="D280" s="12"/>
      <c r="E280" s="13"/>
    </row>
    <row r="281" ht="22.5" customHeight="1">
      <c r="B281" s="11"/>
      <c r="C281" s="9"/>
      <c r="D281" s="12"/>
      <c r="E281" s="13"/>
    </row>
    <row r="282" ht="22.5" customHeight="1">
      <c r="B282" s="11"/>
      <c r="C282" s="9"/>
      <c r="D282" s="12"/>
      <c r="E282" s="13"/>
    </row>
    <row r="283" ht="22.5" customHeight="1">
      <c r="B283" s="11"/>
      <c r="C283" s="9"/>
      <c r="D283" s="12"/>
      <c r="E283" s="13"/>
    </row>
    <row r="284" ht="22.5" customHeight="1">
      <c r="B284" s="11"/>
      <c r="C284" s="9"/>
      <c r="D284" s="12"/>
      <c r="E284" s="13"/>
    </row>
    <row r="285" ht="22.5" customHeight="1">
      <c r="B285" s="11"/>
      <c r="C285" s="9"/>
      <c r="D285" s="12"/>
      <c r="E285" s="13"/>
    </row>
    <row r="286" ht="22.5" customHeight="1">
      <c r="B286" s="11"/>
      <c r="C286" s="9"/>
      <c r="D286" s="12"/>
      <c r="E286" s="13"/>
    </row>
    <row r="287" ht="22.5" customHeight="1">
      <c r="B287" s="11"/>
      <c r="C287" s="9"/>
      <c r="D287" s="12"/>
      <c r="E287" s="13"/>
    </row>
    <row r="288" ht="22.5" customHeight="1">
      <c r="B288" s="11"/>
      <c r="C288" s="9"/>
      <c r="D288" s="12"/>
      <c r="E288" s="13"/>
    </row>
    <row r="289" ht="22.5" customHeight="1">
      <c r="B289" s="11"/>
      <c r="C289" s="9"/>
      <c r="D289" s="12"/>
      <c r="E289" s="13"/>
    </row>
    <row r="290" ht="22.5" customHeight="1">
      <c r="B290" s="11"/>
      <c r="C290" s="9"/>
      <c r="D290" s="12"/>
      <c r="E290" s="13"/>
    </row>
    <row r="291" ht="22.5" customHeight="1">
      <c r="B291" s="11"/>
      <c r="C291" s="9"/>
      <c r="D291" s="12"/>
      <c r="E291" s="13"/>
    </row>
    <row r="292" ht="22.5" customHeight="1">
      <c r="B292" s="11"/>
      <c r="C292" s="9"/>
      <c r="D292" s="12"/>
      <c r="E292" s="13"/>
    </row>
    <row r="293" ht="22.5" customHeight="1">
      <c r="B293" s="11"/>
      <c r="C293" s="9"/>
      <c r="D293" s="12"/>
      <c r="E293" s="13"/>
    </row>
    <row r="294" ht="22.5" customHeight="1">
      <c r="B294" s="11"/>
      <c r="C294" s="9"/>
      <c r="D294" s="12"/>
      <c r="E294" s="13"/>
    </row>
    <row r="295" ht="22.5" customHeight="1">
      <c r="B295" s="11"/>
      <c r="C295" s="9"/>
      <c r="D295" s="12"/>
      <c r="E295" s="13"/>
    </row>
    <row r="296" ht="22.5" customHeight="1">
      <c r="B296" s="11"/>
      <c r="C296" s="9"/>
      <c r="D296" s="12"/>
      <c r="E296" s="13"/>
    </row>
    <row r="297" ht="22.5" customHeight="1">
      <c r="B297" s="11"/>
      <c r="C297" s="9"/>
      <c r="D297" s="12"/>
      <c r="E297" s="13"/>
    </row>
    <row r="298" ht="22.5" customHeight="1">
      <c r="B298" s="11"/>
      <c r="C298" s="9"/>
      <c r="D298" s="12"/>
      <c r="E298" s="13"/>
    </row>
    <row r="299" ht="22.5" customHeight="1">
      <c r="B299" s="11"/>
      <c r="C299" s="9"/>
      <c r="D299" s="12"/>
      <c r="E299" s="13"/>
    </row>
    <row r="300" ht="22.5" customHeight="1">
      <c r="B300" s="11"/>
      <c r="C300" s="9"/>
      <c r="D300" s="12"/>
      <c r="E300" s="13"/>
    </row>
    <row r="301" ht="22.5" customHeight="1">
      <c r="B301" s="11"/>
      <c r="C301" s="9"/>
      <c r="D301" s="12"/>
      <c r="E301" s="13"/>
    </row>
    <row r="302" ht="22.5" customHeight="1">
      <c r="B302" s="11"/>
      <c r="C302" s="9"/>
      <c r="D302" s="12"/>
      <c r="E302" s="13"/>
    </row>
    <row r="303" ht="22.5" customHeight="1">
      <c r="B303" s="11"/>
      <c r="C303" s="9"/>
      <c r="D303" s="12"/>
      <c r="E303" s="13"/>
    </row>
    <row r="304" ht="22.5" customHeight="1">
      <c r="B304" s="11"/>
      <c r="C304" s="9"/>
      <c r="D304" s="12"/>
      <c r="E304" s="13"/>
    </row>
    <row r="305" ht="22.5" customHeight="1">
      <c r="B305" s="11"/>
      <c r="C305" s="9"/>
      <c r="D305" s="12"/>
      <c r="E305" s="13"/>
    </row>
    <row r="306" ht="22.5" customHeight="1">
      <c r="B306" s="11"/>
      <c r="C306" s="9"/>
      <c r="D306" s="12"/>
      <c r="E306" s="13"/>
    </row>
    <row r="307" ht="22.5" customHeight="1">
      <c r="B307" s="11"/>
      <c r="C307" s="9"/>
      <c r="D307" s="12"/>
      <c r="E307" s="13"/>
    </row>
    <row r="308" ht="22.5" customHeight="1">
      <c r="B308" s="11"/>
      <c r="C308" s="9"/>
      <c r="D308" s="12"/>
      <c r="E308" s="13"/>
    </row>
    <row r="309" ht="22.5" customHeight="1">
      <c r="B309" s="11"/>
      <c r="C309" s="9"/>
      <c r="D309" s="12"/>
      <c r="E309" s="13"/>
    </row>
    <row r="310" ht="22.5" customHeight="1">
      <c r="B310" s="11"/>
      <c r="C310" s="9"/>
      <c r="D310" s="12"/>
      <c r="E310" s="13"/>
    </row>
    <row r="311" ht="22.5" customHeight="1">
      <c r="B311" s="11"/>
      <c r="C311" s="9"/>
      <c r="D311" s="12"/>
      <c r="E311" s="13"/>
    </row>
    <row r="312" ht="22.5" customHeight="1">
      <c r="B312" s="11"/>
      <c r="C312" s="9"/>
      <c r="D312" s="12"/>
      <c r="E312" s="13"/>
    </row>
    <row r="313" ht="22.5" customHeight="1">
      <c r="B313" s="11"/>
      <c r="C313" s="9"/>
      <c r="D313" s="12"/>
      <c r="E313" s="13"/>
    </row>
    <row r="314" ht="22.5" customHeight="1">
      <c r="B314" s="11"/>
      <c r="C314" s="9"/>
      <c r="D314" s="12"/>
      <c r="E314" s="13"/>
    </row>
    <row r="315" ht="22.5" customHeight="1">
      <c r="B315" s="11"/>
      <c r="C315" s="9"/>
      <c r="D315" s="12"/>
      <c r="E315" s="13"/>
    </row>
    <row r="316" ht="22.5" customHeight="1">
      <c r="B316" s="11"/>
      <c r="C316" s="9"/>
      <c r="D316" s="12"/>
      <c r="E316" s="13"/>
    </row>
    <row r="317" ht="22.5" customHeight="1">
      <c r="B317" s="11"/>
      <c r="C317" s="9"/>
      <c r="D317" s="12"/>
      <c r="E317" s="13"/>
    </row>
    <row r="318" ht="22.5" customHeight="1">
      <c r="B318" s="11"/>
      <c r="C318" s="9"/>
      <c r="D318" s="12"/>
      <c r="E318" s="13"/>
    </row>
    <row r="319" ht="22.5" customHeight="1">
      <c r="B319" s="11"/>
      <c r="C319" s="9"/>
      <c r="D319" s="12"/>
      <c r="E319" s="13"/>
    </row>
    <row r="320" ht="22.5" customHeight="1">
      <c r="B320" s="11"/>
      <c r="C320" s="9"/>
      <c r="D320" s="12"/>
      <c r="E320" s="13"/>
    </row>
    <row r="321" ht="22.5" customHeight="1">
      <c r="B321" s="11"/>
      <c r="C321" s="9"/>
      <c r="D321" s="12"/>
      <c r="E321" s="13"/>
    </row>
    <row r="322" ht="22.5" customHeight="1">
      <c r="B322" s="11"/>
      <c r="C322" s="9"/>
      <c r="D322" s="12"/>
      <c r="E322" s="13"/>
    </row>
    <row r="323" ht="22.5" customHeight="1">
      <c r="B323" s="11"/>
      <c r="C323" s="9"/>
      <c r="D323" s="12"/>
      <c r="E323" s="13"/>
    </row>
    <row r="324" ht="22.5" customHeight="1">
      <c r="B324" s="11"/>
      <c r="C324" s="9"/>
      <c r="D324" s="12"/>
      <c r="E324" s="13"/>
    </row>
    <row r="325" ht="22.5" customHeight="1">
      <c r="B325" s="11"/>
      <c r="C325" s="9"/>
      <c r="D325" s="12"/>
      <c r="E325" s="13"/>
    </row>
    <row r="326" ht="22.5" customHeight="1">
      <c r="B326" s="11"/>
      <c r="C326" s="9"/>
      <c r="D326" s="12"/>
      <c r="E326" s="13"/>
    </row>
    <row r="327" ht="22.5" customHeight="1">
      <c r="B327" s="11"/>
      <c r="C327" s="9"/>
      <c r="D327" s="12"/>
      <c r="E327" s="13"/>
    </row>
    <row r="328" ht="22.5" customHeight="1">
      <c r="B328" s="11"/>
      <c r="C328" s="9"/>
      <c r="D328" s="12"/>
      <c r="E328" s="13"/>
    </row>
    <row r="329" ht="22.5" customHeight="1">
      <c r="B329" s="11"/>
      <c r="C329" s="9"/>
      <c r="D329" s="12"/>
      <c r="E329" s="13"/>
    </row>
    <row r="330" ht="22.5" customHeight="1">
      <c r="B330" s="11"/>
      <c r="C330" s="9"/>
      <c r="D330" s="12"/>
      <c r="E330" s="13"/>
    </row>
    <row r="331" ht="22.5" customHeight="1">
      <c r="B331" s="11"/>
      <c r="C331" s="9"/>
      <c r="D331" s="12"/>
      <c r="E331" s="13"/>
    </row>
    <row r="332" ht="22.5" customHeight="1">
      <c r="B332" s="11"/>
      <c r="C332" s="9"/>
      <c r="D332" s="12"/>
      <c r="E332" s="13"/>
    </row>
    <row r="333" ht="22.5" customHeight="1">
      <c r="B333" s="11"/>
      <c r="C333" s="9"/>
      <c r="D333" s="12"/>
      <c r="E333" s="13"/>
    </row>
    <row r="334" ht="22.5" customHeight="1">
      <c r="B334" s="11"/>
      <c r="C334" s="9"/>
      <c r="D334" s="12"/>
      <c r="E334" s="13"/>
    </row>
    <row r="335" ht="22.5" customHeight="1">
      <c r="B335" s="11"/>
      <c r="C335" s="9"/>
      <c r="D335" s="12"/>
      <c r="E335" s="13"/>
    </row>
    <row r="336" ht="22.5" customHeight="1">
      <c r="B336" s="11"/>
      <c r="C336" s="9"/>
      <c r="D336" s="12"/>
      <c r="E336" s="13"/>
    </row>
    <row r="337" ht="22.5" customHeight="1">
      <c r="B337" s="11"/>
      <c r="C337" s="9"/>
      <c r="D337" s="12"/>
      <c r="E337" s="13"/>
    </row>
    <row r="338" ht="22.5" customHeight="1">
      <c r="B338" s="11"/>
      <c r="C338" s="9"/>
      <c r="D338" s="12"/>
      <c r="E338" s="13"/>
    </row>
    <row r="339" ht="22.5" customHeight="1">
      <c r="B339" s="11"/>
      <c r="C339" s="9"/>
      <c r="D339" s="12"/>
      <c r="E339" s="13"/>
    </row>
    <row r="340" ht="22.5" customHeight="1">
      <c r="B340" s="11"/>
      <c r="C340" s="9"/>
      <c r="D340" s="12"/>
      <c r="E340" s="13"/>
    </row>
    <row r="341" ht="22.5" customHeight="1">
      <c r="B341" s="11"/>
      <c r="C341" s="9"/>
      <c r="D341" s="12"/>
      <c r="E341" s="13"/>
    </row>
    <row r="342" ht="22.5" customHeight="1">
      <c r="B342" s="11"/>
      <c r="C342" s="9"/>
      <c r="D342" s="12"/>
      <c r="E342" s="13"/>
    </row>
    <row r="343" ht="22.5" customHeight="1">
      <c r="B343" s="11"/>
      <c r="C343" s="9"/>
      <c r="D343" s="12"/>
      <c r="E343" s="13"/>
    </row>
    <row r="344" ht="22.5" customHeight="1">
      <c r="B344" s="11"/>
      <c r="C344" s="9"/>
      <c r="D344" s="12"/>
      <c r="E344" s="13"/>
    </row>
    <row r="345" ht="22.5" customHeight="1">
      <c r="B345" s="11"/>
      <c r="C345" s="9"/>
      <c r="D345" s="12"/>
      <c r="E345" s="13"/>
    </row>
    <row r="346" ht="22.5" customHeight="1">
      <c r="B346" s="11"/>
      <c r="C346" s="9"/>
      <c r="D346" s="12"/>
      <c r="E346" s="13"/>
    </row>
    <row r="347" ht="22.5" customHeight="1">
      <c r="B347" s="11"/>
      <c r="C347" s="9"/>
      <c r="D347" s="12"/>
      <c r="E347" s="13"/>
    </row>
    <row r="348" ht="22.5" customHeight="1">
      <c r="B348" s="11"/>
      <c r="C348" s="9"/>
      <c r="D348" s="12"/>
      <c r="E348" s="13"/>
    </row>
    <row r="349" ht="22.5" customHeight="1">
      <c r="B349" s="11"/>
      <c r="C349" s="9"/>
      <c r="D349" s="12"/>
      <c r="E349" s="13"/>
    </row>
    <row r="350" ht="22.5" customHeight="1">
      <c r="B350" s="11"/>
      <c r="C350" s="9"/>
      <c r="D350" s="12"/>
      <c r="E350" s="13"/>
    </row>
    <row r="351" ht="22.5" customHeight="1">
      <c r="B351" s="11"/>
      <c r="C351" s="9"/>
      <c r="D351" s="12"/>
      <c r="E351" s="13"/>
    </row>
    <row r="352" ht="22.5" customHeight="1">
      <c r="B352" s="11"/>
      <c r="C352" s="9"/>
      <c r="D352" s="12"/>
      <c r="E352" s="13"/>
    </row>
    <row r="353" ht="22.5" customHeight="1">
      <c r="B353" s="11"/>
      <c r="C353" s="9"/>
      <c r="D353" s="12"/>
      <c r="E353" s="13"/>
    </row>
    <row r="354" ht="22.5" customHeight="1">
      <c r="B354" s="11"/>
      <c r="C354" s="9"/>
      <c r="D354" s="12"/>
      <c r="E354" s="13"/>
    </row>
    <row r="355" ht="22.5" customHeight="1">
      <c r="B355" s="11"/>
      <c r="C355" s="9"/>
      <c r="D355" s="12"/>
      <c r="E355" s="13"/>
    </row>
    <row r="356" ht="22.5" customHeight="1">
      <c r="B356" s="11"/>
      <c r="C356" s="9"/>
      <c r="D356" s="12"/>
      <c r="E356" s="13"/>
    </row>
    <row r="357" ht="22.5" customHeight="1">
      <c r="B357" s="11"/>
      <c r="C357" s="9"/>
      <c r="D357" s="12"/>
      <c r="E357" s="13"/>
    </row>
    <row r="358" ht="22.5" customHeight="1">
      <c r="B358" s="11"/>
      <c r="C358" s="9"/>
      <c r="D358" s="12"/>
      <c r="E358" s="13"/>
    </row>
    <row r="359" ht="22.5" customHeight="1">
      <c r="B359" s="11"/>
      <c r="C359" s="9"/>
      <c r="D359" s="12"/>
      <c r="E359" s="13"/>
    </row>
    <row r="360" ht="22.5" customHeight="1">
      <c r="B360" s="11"/>
      <c r="C360" s="9"/>
      <c r="D360" s="12"/>
      <c r="E360" s="13"/>
    </row>
    <row r="361" ht="22.5" customHeight="1">
      <c r="B361" s="11"/>
      <c r="C361" s="9"/>
      <c r="D361" s="12"/>
      <c r="E361" s="13"/>
    </row>
    <row r="362" ht="22.5" customHeight="1">
      <c r="B362" s="11"/>
      <c r="C362" s="9"/>
      <c r="D362" s="12"/>
      <c r="E362" s="13"/>
    </row>
    <row r="363" ht="22.5" customHeight="1">
      <c r="B363" s="11"/>
      <c r="C363" s="9"/>
      <c r="D363" s="12"/>
      <c r="E363" s="13"/>
    </row>
    <row r="364" ht="22.5" customHeight="1">
      <c r="B364" s="11"/>
      <c r="C364" s="9"/>
      <c r="D364" s="12"/>
      <c r="E364" s="13"/>
    </row>
    <row r="365" ht="22.5" customHeight="1">
      <c r="B365" s="11"/>
      <c r="C365" s="9"/>
      <c r="D365" s="12"/>
      <c r="E365" s="13"/>
    </row>
    <row r="366" ht="22.5" customHeight="1">
      <c r="B366" s="11"/>
      <c r="C366" s="9"/>
      <c r="D366" s="12"/>
      <c r="E366" s="13"/>
    </row>
    <row r="367" ht="22.5" customHeight="1">
      <c r="B367" s="11"/>
      <c r="C367" s="9"/>
      <c r="D367" s="12"/>
      <c r="E367" s="13"/>
    </row>
    <row r="368" ht="22.5" customHeight="1">
      <c r="B368" s="11"/>
      <c r="C368" s="9"/>
      <c r="D368" s="12"/>
      <c r="E368" s="13"/>
    </row>
    <row r="369" ht="22.5" customHeight="1">
      <c r="B369" s="11"/>
      <c r="C369" s="9"/>
      <c r="D369" s="12"/>
      <c r="E369" s="13"/>
    </row>
    <row r="370" ht="22.5" customHeight="1">
      <c r="B370" s="11"/>
      <c r="C370" s="9"/>
      <c r="D370" s="12"/>
      <c r="E370" s="13"/>
    </row>
    <row r="371" ht="22.5" customHeight="1">
      <c r="B371" s="11"/>
      <c r="C371" s="9"/>
      <c r="D371" s="12"/>
      <c r="E371" s="13"/>
    </row>
    <row r="372" ht="22.5" customHeight="1">
      <c r="B372" s="11"/>
      <c r="C372" s="9"/>
      <c r="D372" s="12"/>
      <c r="E372" s="13"/>
    </row>
    <row r="373" ht="22.5" customHeight="1">
      <c r="B373" s="11"/>
      <c r="C373" s="9"/>
      <c r="D373" s="12"/>
      <c r="E373" s="13"/>
    </row>
    <row r="374" ht="22.5" customHeight="1">
      <c r="B374" s="11"/>
      <c r="C374" s="9"/>
      <c r="D374" s="12"/>
      <c r="E374" s="13"/>
    </row>
    <row r="375" ht="22.5" customHeight="1">
      <c r="B375" s="11"/>
      <c r="C375" s="9"/>
      <c r="D375" s="12"/>
      <c r="E375" s="13"/>
    </row>
    <row r="376" ht="22.5" customHeight="1">
      <c r="B376" s="11"/>
      <c r="C376" s="9"/>
      <c r="D376" s="12"/>
      <c r="E376" s="13"/>
    </row>
    <row r="377" ht="22.5" customHeight="1">
      <c r="B377" s="11"/>
      <c r="C377" s="9"/>
      <c r="D377" s="12"/>
      <c r="E377" s="13"/>
    </row>
    <row r="378" ht="22.5" customHeight="1">
      <c r="B378" s="11"/>
      <c r="C378" s="9"/>
      <c r="D378" s="12"/>
      <c r="E378" s="13"/>
    </row>
    <row r="379" ht="22.5" customHeight="1">
      <c r="B379" s="11"/>
      <c r="C379" s="9"/>
      <c r="D379" s="12"/>
      <c r="E379" s="13"/>
    </row>
    <row r="380" ht="22.5" customHeight="1">
      <c r="B380" s="11"/>
      <c r="C380" s="9"/>
      <c r="D380" s="12"/>
      <c r="E380" s="13"/>
    </row>
  </sheetData>
  <dataValidations>
    <dataValidation type="list" allowBlank="1" showErrorMessage="1" sqref="B2:B380">
      <formula1>#REF!</formula1>
    </dataValidation>
    <dataValidation type="custom" allowBlank="1" showDropDown="1" sqref="D2:D380">
      <formula1>OR(NOT(ISERROR(DATEVALUE(D2))), AND(ISNUMBER(D2), LEFT(CELL("format", D2))="D"))</formula1>
    </dataValidation>
    <dataValidation type="custom" allowBlank="1" showDropDown="1" sqref="C2:C380">
      <formula1>AND(ISNUMBER(C2),(NOT(OR(NOT(ISERROR(DATEVALUE(C2))), AND(ISNUMBER(C2), LEFT(CELL("format", C2))="D")))))</formula1>
    </dataValidation>
    <dataValidation type="list" allowBlank="1" showInputMessage="1" showErrorMessage="1" prompt="Fai clic e immetti un valore dall'elenco di elementi" sqref="E2:E380">
      <formula1>"Spesa,Risparmio"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25"/>
    <col customWidth="1" min="2" max="2" width="25.38"/>
    <col customWidth="1" min="3" max="3" width="16.25"/>
    <col customWidth="1" min="4" max="4" width="17.0"/>
    <col customWidth="1" min="10" max="10" width="14.75"/>
    <col customWidth="1" min="11" max="11" width="14.38"/>
    <col customWidth="1" min="12" max="12" width="14.25"/>
    <col customWidth="1" min="13" max="13" width="14.13"/>
    <col customWidth="1" min="14" max="14" width="13.88"/>
    <col customWidth="1" min="15" max="15" width="14.0"/>
    <col customWidth="1" min="16" max="16" width="16.88"/>
    <col customWidth="1" min="17" max="17" width="16.75"/>
  </cols>
  <sheetData>
    <row r="1" ht="251.25" customHeight="1">
      <c r="A1" s="14"/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</row>
    <row r="2">
      <c r="A2" s="17"/>
      <c r="B2" s="18"/>
      <c r="C2" s="17"/>
      <c r="D2" s="19"/>
      <c r="E2" s="19"/>
      <c r="F2" s="20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</row>
    <row r="3" ht="22.5" customHeight="1">
      <c r="A3" s="21" t="s">
        <v>1</v>
      </c>
      <c r="B3" s="22" t="s">
        <v>25</v>
      </c>
      <c r="C3" s="23" t="s">
        <v>26</v>
      </c>
      <c r="D3" s="23" t="s">
        <v>27</v>
      </c>
      <c r="E3" s="23" t="s">
        <v>28</v>
      </c>
      <c r="F3" s="23" t="s">
        <v>29</v>
      </c>
      <c r="G3" s="23" t="s">
        <v>30</v>
      </c>
      <c r="H3" s="23" t="s">
        <v>31</v>
      </c>
      <c r="I3" s="23" t="s">
        <v>32</v>
      </c>
      <c r="J3" s="23" t="s">
        <v>33</v>
      </c>
      <c r="K3" s="23" t="s">
        <v>34</v>
      </c>
      <c r="L3" s="23" t="s">
        <v>35</v>
      </c>
      <c r="M3" s="23" t="s">
        <v>36</v>
      </c>
      <c r="N3" s="23" t="s">
        <v>37</v>
      </c>
      <c r="O3" s="23" t="s">
        <v>38</v>
      </c>
      <c r="P3" s="23" t="s">
        <v>39</v>
      </c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</row>
    <row r="4" ht="22.5" customHeight="1">
      <c r="A4" s="24" t="s">
        <v>20</v>
      </c>
      <c r="B4" s="25">
        <f>SUMIFS('Lista Movimenti'!C:C, 'Lista Movimenti'!B:B, A4,'Lista Movimenti'!D:D, "&gt;=01/01/2026", 'Lista Movimenti'!D:D, "&lt;=31/01/2026")</f>
        <v>1500</v>
      </c>
      <c r="C4" s="26">
        <f>SUMIFS('Lista Movimenti'!$C:$C, 'Lista Movimenti'!$B:$B, $A4, 'Lista Movimenti'!$D:$D, "&gt;="&amp;DATE(2026,2,1), 'Lista Movimenti'!$D:$D, "&lt;="&amp;DATE(2026,2,28))</f>
        <v>1400</v>
      </c>
      <c r="D4" s="26">
        <f>SUMIFS('Lista Movimenti'!$C:$C, 'Lista Movimenti'!$B:$B, $A4, 'Lista Movimenti'!$D:$D, "&gt;="&amp;DATE(2026,3,1), 'Lista Movimenti'!$D:$D, "&lt;="&amp;DATE(2026,3,31))</f>
        <v>1500</v>
      </c>
      <c r="E4" s="26">
        <f>SUMIFS('Lista Movimenti'!$C:$C, 'Lista Movimenti'!$B:$B, $A4, 'Lista Movimenti'!$D:$D, "&gt;="&amp;DATE(2026,4,1), 'Lista Movimenti'!$D:$D, "&lt;="&amp;DATE(2026,4,30))</f>
        <v>1300</v>
      </c>
      <c r="F4" s="26">
        <f>SUMIFS('Lista Movimenti'!$C:$C, 'Lista Movimenti'!$B:$B, $A4, 'Lista Movimenti'!$D:$D, "&gt;="&amp;DATE(2026,5,1), 'Lista Movimenti'!$D:$D, "&lt;="&amp;DATE(2026,5,31))</f>
        <v>1230</v>
      </c>
      <c r="G4" s="26">
        <f>SUMIFS('Lista Movimenti'!$C:$C, 'Lista Movimenti'!$B:$B, $A4, 'Lista Movimenti'!$D:$D, "&gt;="&amp;DATE(2026,6,1), 'Lista Movimenti'!$D:$D, "&lt;="&amp;DATE(2026,6,30))</f>
        <v>1450</v>
      </c>
      <c r="H4" s="26">
        <f>SUMIFS('Lista Movimenti'!$C:$C, 'Lista Movimenti'!$B:$B, $A4, 'Lista Movimenti'!$D:$D, "&gt;="&amp;DATE(2026,7,1), 'Lista Movimenti'!$D:$D, "&lt;="&amp;DATE(2026,7,31))</f>
        <v>1000</v>
      </c>
      <c r="I4" s="26">
        <f>SUMIFS('Lista Movimenti'!$C:$C, 'Lista Movimenti'!$B:$B, $A4, 'Lista Movimenti'!$D:$D, "&gt;="&amp;DATE(2026,8,1), 'Lista Movimenti'!$D:$D, "&lt;="&amp;DATE(2026,8,31))</f>
        <v>1250</v>
      </c>
      <c r="J4" s="26">
        <f>SUMIFS('Lista Movimenti'!$C:$C, 'Lista Movimenti'!$B:$B, $A4, 'Lista Movimenti'!$D:$D, "&gt;="&amp;DATE(2026,9,1), 'Lista Movimenti'!$D:$D, "&lt;="&amp;DATE(2026,9,30))</f>
        <v>1500</v>
      </c>
      <c r="K4" s="26">
        <f>SUMIFS('Lista Movimenti'!$C:$C, 'Lista Movimenti'!$B:$B, $A4, 'Lista Movimenti'!$D:$D, "&gt;="&amp;DATE(2026,10,1), 'Lista Movimenti'!$D:$D, "&lt;="&amp;DATE(2026,10,31))</f>
        <v>1600</v>
      </c>
      <c r="L4" s="26">
        <f>SUMIFS('Lista Movimenti'!$C:$C, 'Lista Movimenti'!$B:$B, $A4, 'Lista Movimenti'!$D:$D, "&gt;="&amp;DATE(2026,11,1), 'Lista Movimenti'!$D:$D, "&lt;="&amp;DATE(2026,11,30))</f>
        <v>1150</v>
      </c>
      <c r="M4" s="26">
        <f>SUMIFS('Lista Movimenti'!$C:$C, 'Lista Movimenti'!$B:$B, $A4, 'Lista Movimenti'!$D:$D, "&gt;="&amp;DATE(2026,12,1), 'Lista Movimenti'!$D:$D, "&lt;="&amp;DATE(2026,12,31))</f>
        <v>1450</v>
      </c>
      <c r="N4" s="26">
        <f t="shared" ref="N4:N8" si="1">AVERAGE(B4:M4)</f>
        <v>1360.833333</v>
      </c>
      <c r="O4" s="26"/>
      <c r="P4" s="27">
        <f t="shared" ref="P4:P7" si="2">SUM(B4:M4)</f>
        <v>16330</v>
      </c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</row>
    <row r="5" ht="22.5" customHeight="1">
      <c r="A5" s="28" t="s">
        <v>21</v>
      </c>
      <c r="B5" s="25">
        <f>SUMIFS('Lista Movimenti'!C:C, 'Lista Movimenti'!B:B, A5,'Lista Movimenti'!D:D, "&gt;=01/01/2026", 'Lista Movimenti'!D:D, "&lt;=31/01/2026")</f>
        <v>50</v>
      </c>
      <c r="C5" s="26">
        <f>SUMIFS('Lista Movimenti'!$C:$C, 'Lista Movimenti'!$B:$B, $A5, 'Lista Movimenti'!$D:$D, "&gt;="&amp;DATE(2026,2,1), 'Lista Movimenti'!$D:$D, "&lt;="&amp;DATE(2026,2,28))</f>
        <v>0</v>
      </c>
      <c r="D5" s="26">
        <f>SUMIFS('Lista Movimenti'!$C:$C, 'Lista Movimenti'!$B:$B, $A5, 'Lista Movimenti'!$D:$D, "&gt;="&amp;DATE(2026,3,1), 'Lista Movimenti'!$D:$D, "&lt;="&amp;DATE(2026,3,31))</f>
        <v>10</v>
      </c>
      <c r="E5" s="26">
        <f>SUMIFS('Lista Movimenti'!$C:$C, 'Lista Movimenti'!$B:$B, $A5, 'Lista Movimenti'!$D:$D, "&gt;="&amp;DATE(2026,4,1), 'Lista Movimenti'!$D:$D, "&lt;="&amp;DATE(2026,4,30))</f>
        <v>0</v>
      </c>
      <c r="F5" s="26">
        <f>SUMIFS('Lista Movimenti'!$C:$C, 'Lista Movimenti'!$B:$B, $A5, 'Lista Movimenti'!$D:$D, "&gt;="&amp;DATE(2026,5,1), 'Lista Movimenti'!$D:$D, "&lt;="&amp;DATE(2026,5,31))</f>
        <v>30</v>
      </c>
      <c r="G5" s="26">
        <f>SUMIFS('Lista Movimenti'!$C:$C, 'Lista Movimenti'!$B:$B, $A5, 'Lista Movimenti'!$D:$D, "&gt;="&amp;DATE(2026,6,1), 'Lista Movimenti'!$D:$D, "&lt;="&amp;DATE(2026,6,30))</f>
        <v>0</v>
      </c>
      <c r="H5" s="26">
        <f>SUMIFS('Lista Movimenti'!$C:$C, 'Lista Movimenti'!$B:$B, $A5, 'Lista Movimenti'!$D:$D, "&gt;="&amp;DATE(2026,7,1), 'Lista Movimenti'!$D:$D, "&lt;="&amp;DATE(2026,7,31))</f>
        <v>0</v>
      </c>
      <c r="I5" s="26">
        <f>SUMIFS('Lista Movimenti'!$C:$C, 'Lista Movimenti'!$B:$B, $A5, 'Lista Movimenti'!$D:$D, "&gt;="&amp;DATE(2026,8,1), 'Lista Movimenti'!$D:$D, "&lt;="&amp;DATE(2026,8,31))</f>
        <v>60</v>
      </c>
      <c r="J5" s="26">
        <f>SUMIFS('Lista Movimenti'!$C:$C, 'Lista Movimenti'!$B:$B, $A5, 'Lista Movimenti'!$D:$D, "&gt;="&amp;DATE(2026,9,1), 'Lista Movimenti'!$D:$D, "&lt;="&amp;DATE(2026,9,30))</f>
        <v>0</v>
      </c>
      <c r="K5" s="26">
        <f>SUMIFS('Lista Movimenti'!$C:$C, 'Lista Movimenti'!$B:$B, $A5, 'Lista Movimenti'!$D:$D, "&gt;="&amp;DATE(2026,10,1), 'Lista Movimenti'!$D:$D, "&lt;="&amp;DATE(2026,10,31))</f>
        <v>20</v>
      </c>
      <c r="L5" s="26">
        <f>SUMIFS('Lista Movimenti'!$C:$C, 'Lista Movimenti'!$B:$B, $A5, 'Lista Movimenti'!$D:$D, "&gt;="&amp;DATE(2026,11,1), 'Lista Movimenti'!$D:$D, "&lt;="&amp;DATE(2026,11,30))</f>
        <v>0</v>
      </c>
      <c r="M5" s="26">
        <f>SUMIFS('Lista Movimenti'!$C:$C, 'Lista Movimenti'!$B:$B, $A5, 'Lista Movimenti'!$D:$D, "&gt;="&amp;DATE(2026,12,1), 'Lista Movimenti'!$D:$D, "&lt;="&amp;DATE(2026,12,31))</f>
        <v>0</v>
      </c>
      <c r="N5" s="29">
        <f t="shared" si="1"/>
        <v>14.16666667</v>
      </c>
      <c r="O5" s="29"/>
      <c r="P5" s="30">
        <f t="shared" si="2"/>
        <v>170</v>
      </c>
      <c r="Q5" s="19"/>
      <c r="R5" s="17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</row>
    <row r="6" ht="22.5" customHeight="1">
      <c r="A6" s="31"/>
      <c r="B6" s="25">
        <f>SUMIFS('Lista Movimenti'!C:C, 'Lista Movimenti'!B:B, A6,'Lista Movimenti'!D:D, "&gt;=01/01/2026", 'Lista Movimenti'!D:D, "&lt;=31/01/2026")</f>
        <v>0</v>
      </c>
      <c r="C6" s="26">
        <f>SUMIFS('Lista Movimenti'!$C:$C, 'Lista Movimenti'!$B:$B, $A6, 'Lista Movimenti'!$D:$D, "&gt;="&amp;DATE(2026,2,1), 'Lista Movimenti'!$D:$D, "&lt;="&amp;DATE(2026,2,28))</f>
        <v>0</v>
      </c>
      <c r="D6" s="26">
        <f>SUMIFS('Lista Movimenti'!$C:$C, 'Lista Movimenti'!$B:$B, $A6, 'Lista Movimenti'!$D:$D, "&gt;="&amp;DATE(2026,3,1), 'Lista Movimenti'!$D:$D, "&lt;="&amp;DATE(2026,3,31))</f>
        <v>0</v>
      </c>
      <c r="E6" s="26">
        <f>SUMIFS('Lista Movimenti'!$C:$C, 'Lista Movimenti'!$B:$B, $A6, 'Lista Movimenti'!$D:$D, "&gt;="&amp;DATE(2026,4,1), 'Lista Movimenti'!$D:$D, "&lt;="&amp;DATE(2026,4,30))</f>
        <v>0</v>
      </c>
      <c r="F6" s="26">
        <f>SUMIFS('Lista Movimenti'!$C:$C, 'Lista Movimenti'!$B:$B, $A6, 'Lista Movimenti'!$D:$D, "&gt;="&amp;DATE(2026,5,1), 'Lista Movimenti'!$D:$D, "&lt;="&amp;DATE(2026,5,31))</f>
        <v>0</v>
      </c>
      <c r="G6" s="26">
        <f>SUMIFS('Lista Movimenti'!$C:$C, 'Lista Movimenti'!$B:$B, $A6, 'Lista Movimenti'!$D:$D, "&gt;="&amp;DATE(2026,6,1), 'Lista Movimenti'!$D:$D, "&lt;="&amp;DATE(2026,6,30))</f>
        <v>0</v>
      </c>
      <c r="H6" s="26">
        <f>SUMIFS('Lista Movimenti'!$C:$C, 'Lista Movimenti'!$B:$B, $A6, 'Lista Movimenti'!$D:$D, "&gt;="&amp;DATE(2026,7,1), 'Lista Movimenti'!$D:$D, "&lt;="&amp;DATE(2026,7,31))</f>
        <v>0</v>
      </c>
      <c r="I6" s="26">
        <f>SUMIFS('Lista Movimenti'!$C:$C, 'Lista Movimenti'!$B:$B, $A6, 'Lista Movimenti'!$D:$D, "&gt;="&amp;DATE(2026,8,1), 'Lista Movimenti'!$D:$D, "&lt;="&amp;DATE(2026,8,31))</f>
        <v>0</v>
      </c>
      <c r="J6" s="26">
        <f>SUMIFS('Lista Movimenti'!$C:$C, 'Lista Movimenti'!$B:$B, $A6, 'Lista Movimenti'!$D:$D, "&gt;="&amp;DATE(2026,9,1), 'Lista Movimenti'!$D:$D, "&lt;="&amp;DATE(2026,9,30))</f>
        <v>0</v>
      </c>
      <c r="K6" s="26">
        <f>SUMIFS('Lista Movimenti'!$C:$C, 'Lista Movimenti'!$B:$B, $A6, 'Lista Movimenti'!$D:$D, "&gt;="&amp;DATE(2026,10,1), 'Lista Movimenti'!$D:$D, "&lt;="&amp;DATE(2026,10,31))</f>
        <v>0</v>
      </c>
      <c r="L6" s="26">
        <f>SUMIFS('Lista Movimenti'!$C:$C, 'Lista Movimenti'!$B:$B, $A6, 'Lista Movimenti'!$D:$D, "&gt;="&amp;DATE(2026,11,1), 'Lista Movimenti'!$D:$D, "&lt;="&amp;DATE(2026,11,30))</f>
        <v>0</v>
      </c>
      <c r="M6" s="26">
        <f>SUMIFS('Lista Movimenti'!$C:$C, 'Lista Movimenti'!$B:$B, $A6, 'Lista Movimenti'!$D:$D, "&gt;="&amp;DATE(2026,12,1), 'Lista Movimenti'!$D:$D, "&lt;="&amp;DATE(2026,12,31))</f>
        <v>0</v>
      </c>
      <c r="N6" s="29">
        <f t="shared" si="1"/>
        <v>0</v>
      </c>
      <c r="O6" s="29"/>
      <c r="P6" s="30">
        <f t="shared" si="2"/>
        <v>0</v>
      </c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</row>
    <row r="7" ht="22.5" customHeight="1">
      <c r="A7" s="31"/>
      <c r="B7" s="25">
        <f>SUMIFS('Lista Movimenti'!C:C, 'Lista Movimenti'!B:B, A7,'Lista Movimenti'!D:D, "&gt;=01/01/2026", 'Lista Movimenti'!D:D, "&lt;=31/01/2026")</f>
        <v>0</v>
      </c>
      <c r="C7" s="26">
        <f>SUMIFS('Lista Movimenti'!$C:$C, 'Lista Movimenti'!$B:$B, $A7, 'Lista Movimenti'!$D:$D, "&gt;="&amp;DATE(2026,2,1), 'Lista Movimenti'!$D:$D, "&lt;="&amp;DATE(2026,2,28))</f>
        <v>0</v>
      </c>
      <c r="D7" s="26">
        <f>SUMIFS('Lista Movimenti'!$C:$C, 'Lista Movimenti'!$B:$B, $A7, 'Lista Movimenti'!$D:$D, "&gt;="&amp;DATE(2026,3,1), 'Lista Movimenti'!$D:$D, "&lt;="&amp;DATE(2026,3,31))</f>
        <v>0</v>
      </c>
      <c r="E7" s="26">
        <f>SUMIFS('Lista Movimenti'!$C:$C, 'Lista Movimenti'!$B:$B, $A7, 'Lista Movimenti'!$D:$D, "&gt;="&amp;DATE(2026,4,1), 'Lista Movimenti'!$D:$D, "&lt;="&amp;DATE(2026,4,30))</f>
        <v>0</v>
      </c>
      <c r="F7" s="26">
        <f>SUMIFS('Lista Movimenti'!$C:$C, 'Lista Movimenti'!$B:$B, $A7, 'Lista Movimenti'!$D:$D, "&gt;="&amp;DATE(2026,5,1), 'Lista Movimenti'!$D:$D, "&lt;="&amp;DATE(2026,5,31))</f>
        <v>0</v>
      </c>
      <c r="G7" s="26">
        <f>SUMIFS('Lista Movimenti'!$C:$C, 'Lista Movimenti'!$B:$B, $A7, 'Lista Movimenti'!$D:$D, "&gt;="&amp;DATE(2026,6,1), 'Lista Movimenti'!$D:$D, "&lt;="&amp;DATE(2026,6,30))</f>
        <v>0</v>
      </c>
      <c r="H7" s="26">
        <f>SUMIFS('Lista Movimenti'!$C:$C, 'Lista Movimenti'!$B:$B, $A7, 'Lista Movimenti'!$D:$D, "&gt;="&amp;DATE(2026,7,1), 'Lista Movimenti'!$D:$D, "&lt;="&amp;DATE(2026,7,31))</f>
        <v>0</v>
      </c>
      <c r="I7" s="26">
        <f>SUMIFS('Lista Movimenti'!$C:$C, 'Lista Movimenti'!$B:$B, $A7, 'Lista Movimenti'!$D:$D, "&gt;="&amp;DATE(2026,8,1), 'Lista Movimenti'!$D:$D, "&lt;="&amp;DATE(2026,8,31))</f>
        <v>0</v>
      </c>
      <c r="J7" s="26">
        <f>SUMIFS('Lista Movimenti'!$C:$C, 'Lista Movimenti'!$B:$B, $A7, 'Lista Movimenti'!$D:$D, "&gt;="&amp;DATE(2026,9,1), 'Lista Movimenti'!$D:$D, "&lt;="&amp;DATE(2026,9,30))</f>
        <v>0</v>
      </c>
      <c r="K7" s="26">
        <f>SUMIFS('Lista Movimenti'!$C:$C, 'Lista Movimenti'!$B:$B, $A7, 'Lista Movimenti'!$D:$D, "&gt;="&amp;DATE(2026,10,1), 'Lista Movimenti'!$D:$D, "&lt;="&amp;DATE(2026,10,31))</f>
        <v>0</v>
      </c>
      <c r="L7" s="26">
        <f>SUMIFS('Lista Movimenti'!$C:$C, 'Lista Movimenti'!$B:$B, $A7, 'Lista Movimenti'!$D:$D, "&gt;="&amp;DATE(2026,11,1), 'Lista Movimenti'!$D:$D, "&lt;="&amp;DATE(2026,11,30))</f>
        <v>0</v>
      </c>
      <c r="M7" s="26">
        <f>SUMIFS('Lista Movimenti'!$C:$C, 'Lista Movimenti'!$B:$B, $A7, 'Lista Movimenti'!$D:$D, "&gt;="&amp;DATE(2026,12,1), 'Lista Movimenti'!$D:$D, "&lt;="&amp;DATE(2026,12,31))</f>
        <v>0</v>
      </c>
      <c r="N7" s="29">
        <f t="shared" si="1"/>
        <v>0</v>
      </c>
      <c r="O7" s="29"/>
      <c r="P7" s="30">
        <f t="shared" si="2"/>
        <v>0</v>
      </c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</row>
    <row r="8" ht="22.5" customHeight="1">
      <c r="A8" s="32" t="s">
        <v>40</v>
      </c>
      <c r="B8" s="33">
        <f>SUM(Entrate_Anno[Gennaio])</f>
        <v>1550</v>
      </c>
      <c r="C8" s="33">
        <f t="shared" ref="C8:M8" si="3">SUM(C4:C7)</f>
        <v>1400</v>
      </c>
      <c r="D8" s="33">
        <f t="shared" si="3"/>
        <v>1510</v>
      </c>
      <c r="E8" s="33">
        <f t="shared" si="3"/>
        <v>1300</v>
      </c>
      <c r="F8" s="33">
        <f t="shared" si="3"/>
        <v>1260</v>
      </c>
      <c r="G8" s="33">
        <f t="shared" si="3"/>
        <v>1450</v>
      </c>
      <c r="H8" s="33">
        <f t="shared" si="3"/>
        <v>1000</v>
      </c>
      <c r="I8" s="33">
        <f t="shared" si="3"/>
        <v>1310</v>
      </c>
      <c r="J8" s="33">
        <f t="shared" si="3"/>
        <v>1500</v>
      </c>
      <c r="K8" s="33">
        <f t="shared" si="3"/>
        <v>1620</v>
      </c>
      <c r="L8" s="33">
        <f t="shared" si="3"/>
        <v>1150</v>
      </c>
      <c r="M8" s="33">
        <f t="shared" si="3"/>
        <v>1450</v>
      </c>
      <c r="N8" s="29">
        <f t="shared" si="1"/>
        <v>1375</v>
      </c>
      <c r="O8" s="34"/>
      <c r="P8" s="30">
        <f>SUM(Entrate_Anno[Totale Annuo])</f>
        <v>16500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</row>
    <row r="9">
      <c r="A9" s="19"/>
      <c r="B9" s="35"/>
      <c r="C9" s="36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</row>
    <row r="10">
      <c r="A10" s="37"/>
      <c r="B10" s="37"/>
      <c r="C10" s="37"/>
      <c r="D10" s="17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</row>
    <row r="11">
      <c r="A11" s="37"/>
      <c r="B11" s="37"/>
      <c r="C11" s="37"/>
      <c r="D11" s="17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</row>
    <row r="12" ht="22.5" customHeight="1">
      <c r="A12" s="23" t="s">
        <v>41</v>
      </c>
      <c r="B12" s="22" t="s">
        <v>1</v>
      </c>
      <c r="C12" s="23" t="s">
        <v>25</v>
      </c>
      <c r="D12" s="23" t="s">
        <v>26</v>
      </c>
      <c r="E12" s="23" t="s">
        <v>27</v>
      </c>
      <c r="F12" s="23" t="s">
        <v>28</v>
      </c>
      <c r="G12" s="23" t="s">
        <v>29</v>
      </c>
      <c r="H12" s="23" t="s">
        <v>30</v>
      </c>
      <c r="I12" s="23" t="s">
        <v>31</v>
      </c>
      <c r="J12" s="23" t="s">
        <v>32</v>
      </c>
      <c r="K12" s="23" t="s">
        <v>33</v>
      </c>
      <c r="L12" s="23" t="s">
        <v>34</v>
      </c>
      <c r="M12" s="23" t="s">
        <v>35</v>
      </c>
      <c r="N12" s="23" t="s">
        <v>36</v>
      </c>
      <c r="O12" s="23" t="s">
        <v>37</v>
      </c>
      <c r="P12" s="23" t="s">
        <v>38</v>
      </c>
      <c r="Q12" s="23" t="s">
        <v>39</v>
      </c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</row>
    <row r="13" ht="22.5" customHeight="1">
      <c r="A13" s="38"/>
      <c r="B13" s="28" t="s">
        <v>15</v>
      </c>
      <c r="C13" s="33">
        <f>SUMIFS('Lista Movimenti'!$C:$C, 'Lista Movimenti'!$B:$B, $B13, 'Lista Movimenti'!$E:$E, "Spesa", 'Lista Movimenti'!$D:$D, "&gt;=01/01/2026", 'Lista Movimenti'!$D:$D, "&lt;=31/01/2026")</f>
        <v>230</v>
      </c>
      <c r="D13" s="33">
        <f>SUMIFS('Lista Movimenti'!$C:$C, 'Lista Movimenti'!$B:$B, $B13, 'Lista Movimenti'!$E:$E, "Spesa", 'Lista Movimenti'!$D:$D, "&gt;=01/02/2026", 'Lista Movimenti'!$D:$D, "&lt;=28/02/2026")</f>
        <v>780</v>
      </c>
      <c r="E13" s="33">
        <f>SUMIFS('Lista Movimenti'!$C:$C, 'Lista Movimenti'!$B:$B, $B13, 'Lista Movimenti'!$E:$E, "Spesa", 'Lista Movimenti'!$D:$D, "&gt;=01/03/2026", 'Lista Movimenti'!$D:$D, "&lt;=31/03/2026")</f>
        <v>0</v>
      </c>
      <c r="F13" s="33">
        <f>SUMIFS('Lista Movimenti'!$C:$C, 'Lista Movimenti'!$B:$B, $B13, 'Lista Movimenti'!$E:$E, "Spesa", 'Lista Movimenti'!$D:$D, "&gt;=01/04/2026", 'Lista Movimenti'!$D:$D, "&lt;=30/04/2026")</f>
        <v>0</v>
      </c>
      <c r="G13" s="33">
        <f>SUMIFS('Lista Movimenti'!$C:$C, 'Lista Movimenti'!$B:$B, $B13, 'Lista Movimenti'!$E:$E, "Spesa", 'Lista Movimenti'!$D:$D, "&gt;=01/05/2026", 'Lista Movimenti'!$D:$D, "&lt;=31/05/2026")</f>
        <v>0</v>
      </c>
      <c r="H13" s="33">
        <f>SUMIFS('Lista Movimenti'!$C:$C, 'Lista Movimenti'!$B:$B, $B13, 'Lista Movimenti'!$E:$E, "Spesa", 'Lista Movimenti'!$D:$D, "&gt;=01/06/2026", 'Lista Movimenti'!$D:$D, "&lt;=30/06/2026")</f>
        <v>0</v>
      </c>
      <c r="I13" s="33">
        <f>SUMIFS('Lista Movimenti'!$C:$C, 'Lista Movimenti'!$B:$B, $B13, 'Lista Movimenti'!$E:$E, "Spesa", 'Lista Movimenti'!$D:$D, "&gt;=01/07/2026", 'Lista Movimenti'!$D:$D, "&lt;=31/07/2026")</f>
        <v>399</v>
      </c>
      <c r="J13" s="33">
        <f>SUMIFS('Lista Movimenti'!$C:$C, 'Lista Movimenti'!$B:$B, $B13, 'Lista Movimenti'!$E:$E, "Spesa", 'Lista Movimenti'!$D:$D, "&gt;=01/08/2026", 'Lista Movimenti'!$D:$D, "&lt;=31/08/2026")</f>
        <v>0</v>
      </c>
      <c r="K13" s="33">
        <f>SUMIFS('Lista Movimenti'!$C:$C, 'Lista Movimenti'!$B:$B, $B13, 'Lista Movimenti'!$E:$E, "Spesa", 'Lista Movimenti'!$D:$D, "&gt;=01/09/2026", 'Lista Movimenti'!$D:$D, "&lt;=30/09/2026")</f>
        <v>0</v>
      </c>
      <c r="L13" s="33">
        <f>SUMIFS('Lista Movimenti'!$C:$C, 'Lista Movimenti'!$B:$B, $B13, 'Lista Movimenti'!$E:$E, "Spesa", 'Lista Movimenti'!$D:$D, "&gt;=01/10/2026", 'Lista Movimenti'!$D:$D, "&lt;=31/10/2026")</f>
        <v>0</v>
      </c>
      <c r="M13" s="33">
        <f>SUMIFS('Lista Movimenti'!$C:$C, 'Lista Movimenti'!$B:$B, $B13, 'Lista Movimenti'!$E:$E, "Spesa", 'Lista Movimenti'!$D:$D, "&gt;=01/11/2026", 'Lista Movimenti'!$D:$D, "&lt;=30/11/2026")</f>
        <v>200</v>
      </c>
      <c r="N13" s="33">
        <f>SUMIFS('Lista Movimenti'!$C:$C, 'Lista Movimenti'!$B:$B, $B13, 'Lista Movimenti'!$E:$E, "Spesa", 'Lista Movimenti'!$D:$D, "&gt;=01/12/2026", 'Lista Movimenti'!$D:$D, "&lt;=31/12/2026")</f>
        <v>0</v>
      </c>
      <c r="O13" s="39">
        <f t="shared" ref="O13:O19" si="4">AVERAGE(C13:N13)</f>
        <v>134.0833333</v>
      </c>
      <c r="P13" s="39">
        <v>200.0</v>
      </c>
      <c r="Q13" s="40">
        <f t="shared" ref="Q13:Q20" si="5">SUM(C13:N13)</f>
        <v>1609</v>
      </c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</row>
    <row r="14" ht="22.5" customHeight="1">
      <c r="A14" s="38"/>
      <c r="B14" s="28" t="s">
        <v>10</v>
      </c>
      <c r="C14" s="33">
        <f>SUMIFS('Lista Movimenti'!C:C, 'Lista Movimenti'!B:B, B14, 'Lista Movimenti'!E:E, "Spesa", 'Lista Movimenti'!D:D, "&gt;=01/01/2026", 'Lista Movimenti'!D:D, "&lt;=31/01/2026")</f>
        <v>125</v>
      </c>
      <c r="D14" s="33">
        <f>SUMIFS('Lista Movimenti'!$C:$C, 'Lista Movimenti'!$B:$B, $B14, 'Lista Movimenti'!$E:$E, "Spesa", 'Lista Movimenti'!$D:$D, "&gt;=01/02/2026", 'Lista Movimenti'!$D:$D, "&lt;=28/02/2026")</f>
        <v>0</v>
      </c>
      <c r="E14" s="33">
        <f>SUMIFS('Lista Movimenti'!$C:$C, 'Lista Movimenti'!$B:$B, $B14, 'Lista Movimenti'!$E:$E, "Spesa", 'Lista Movimenti'!$D:$D, "&gt;=01/03/2026", 'Lista Movimenti'!$D:$D, "&lt;=31/03/2026")</f>
        <v>0</v>
      </c>
      <c r="F14" s="33">
        <f>SUMIFS('Lista Movimenti'!$C:$C, 'Lista Movimenti'!$B:$B, $B14, 'Lista Movimenti'!$E:$E, "Spesa", 'Lista Movimenti'!$D:$D, "&gt;=01/04/2026", 'Lista Movimenti'!$D:$D, "&lt;=30/04/2026")</f>
        <v>300</v>
      </c>
      <c r="G14" s="33">
        <f>SUMIFS('Lista Movimenti'!$C:$C, 'Lista Movimenti'!$B:$B, $B14, 'Lista Movimenti'!$E:$E, "Spesa", 'Lista Movimenti'!$D:$D, "&gt;=01/05/2026", 'Lista Movimenti'!$D:$D, "&lt;=31/05/2026")</f>
        <v>0</v>
      </c>
      <c r="H14" s="33">
        <f>SUMIFS('Lista Movimenti'!$C:$C, 'Lista Movimenti'!$B:$B, $B14, 'Lista Movimenti'!$E:$E, "Spesa", 'Lista Movimenti'!$D:$D, "&gt;=01/06/2026", 'Lista Movimenti'!$D:$D, "&lt;=30/06/2026")</f>
        <v>0</v>
      </c>
      <c r="I14" s="33">
        <f>SUMIFS('Lista Movimenti'!$C:$C, 'Lista Movimenti'!$B:$B, $B14, 'Lista Movimenti'!$E:$E, "Spesa", 'Lista Movimenti'!$D:$D, "&gt;=01/07/2026", 'Lista Movimenti'!$D:$D, "&lt;=31/07/2026")</f>
        <v>200</v>
      </c>
      <c r="J14" s="33">
        <f>SUMIFS('Lista Movimenti'!$C:$C, 'Lista Movimenti'!$B:$B, $B14, 'Lista Movimenti'!$E:$E, "Spesa", 'Lista Movimenti'!$D:$D, "&gt;=01/08/2026", 'Lista Movimenti'!$D:$D, "&lt;=31/08/2026")</f>
        <v>0</v>
      </c>
      <c r="K14" s="33">
        <f>SUMIFS('Lista Movimenti'!$C:$C, 'Lista Movimenti'!$B:$B, $B14, 'Lista Movimenti'!$E:$E, "Spesa", 'Lista Movimenti'!$D:$D, "&gt;=01/09/2026", 'Lista Movimenti'!$D:$D, "&lt;=30/09/2026")</f>
        <v>0</v>
      </c>
      <c r="L14" s="33">
        <f>SUMIFS('Lista Movimenti'!$C:$C, 'Lista Movimenti'!$B:$B, $B14, 'Lista Movimenti'!$E:$E, "Spesa", 'Lista Movimenti'!$D:$D, "&gt;=01/10/2026", 'Lista Movimenti'!$D:$D, "&lt;=31/10/2026")</f>
        <v>100</v>
      </c>
      <c r="M14" s="33">
        <f>SUMIFS('Lista Movimenti'!$C:$C, 'Lista Movimenti'!$B:$B, $B14, 'Lista Movimenti'!$E:$E, "Spesa", 'Lista Movimenti'!$D:$D, "&gt;=01/11/2026", 'Lista Movimenti'!$D:$D, "&lt;=30/11/2026")</f>
        <v>0</v>
      </c>
      <c r="N14" s="33">
        <f>SUMIFS('Lista Movimenti'!$C:$C, 'Lista Movimenti'!$B:$B, $B14, 'Lista Movimenti'!$E:$E, "Spesa", 'Lista Movimenti'!$D:$D, "&gt;=01/12/2026", 'Lista Movimenti'!$D:$D, "&lt;=31/12/2026")</f>
        <v>0</v>
      </c>
      <c r="O14" s="39">
        <f t="shared" si="4"/>
        <v>60.41666667</v>
      </c>
      <c r="P14" s="39">
        <v>280.0</v>
      </c>
      <c r="Q14" s="40">
        <f t="shared" si="5"/>
        <v>725</v>
      </c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</row>
    <row r="15" ht="22.5" customHeight="1">
      <c r="A15" s="38"/>
      <c r="B15" s="28" t="s">
        <v>23</v>
      </c>
      <c r="C15" s="33">
        <f>SUMIFS('Lista Movimenti'!C:C, 'Lista Movimenti'!B:B, B15, 'Lista Movimenti'!E:E, "Spesa", 'Lista Movimenti'!D:D, "&gt;=01/01/2026", 'Lista Movimenti'!D:D, "&lt;=31/01/2026")</f>
        <v>100</v>
      </c>
      <c r="D15" s="33">
        <f>SUMIFS('Lista Movimenti'!$C:$C, 'Lista Movimenti'!$B:$B, $B15, 'Lista Movimenti'!$E:$E, "Spesa", 'Lista Movimenti'!$D:$D, "&gt;=01/02/2026", 'Lista Movimenti'!$D:$D, "&lt;=28/02/2026")</f>
        <v>0</v>
      </c>
      <c r="E15" s="33">
        <f>SUMIFS('Lista Movimenti'!$C:$C, 'Lista Movimenti'!$B:$B, $B15, 'Lista Movimenti'!$E:$E, "Spesa", 'Lista Movimenti'!$D:$D, "&gt;=01/03/2026", 'Lista Movimenti'!$D:$D, "&lt;=31/03/2026")</f>
        <v>0</v>
      </c>
      <c r="F15" s="33">
        <f>SUMIFS('Lista Movimenti'!$C:$C, 'Lista Movimenti'!$B:$B, $B15, 'Lista Movimenti'!$E:$E, "Spesa", 'Lista Movimenti'!$D:$D, "&gt;=01/04/2026", 'Lista Movimenti'!$D:$D, "&lt;=30/04/2026")</f>
        <v>0</v>
      </c>
      <c r="G15" s="33">
        <f>SUMIFS('Lista Movimenti'!$C:$C, 'Lista Movimenti'!$B:$B, $B15, 'Lista Movimenti'!$E:$E, "Spesa", 'Lista Movimenti'!$D:$D, "&gt;=01/05/2026", 'Lista Movimenti'!$D:$D, "&lt;=31/05/2026")</f>
        <v>0</v>
      </c>
      <c r="H15" s="33">
        <f>SUMIFS('Lista Movimenti'!$C:$C, 'Lista Movimenti'!$B:$B, $B15, 'Lista Movimenti'!$E:$E, "Spesa", 'Lista Movimenti'!$D:$D, "&gt;=01/06/2026", 'Lista Movimenti'!$D:$D, "&lt;=30/06/2026")</f>
        <v>0</v>
      </c>
      <c r="I15" s="33">
        <f>SUMIFS('Lista Movimenti'!$C:$C, 'Lista Movimenti'!$B:$B, $B15, 'Lista Movimenti'!$E:$E, "Spesa", 'Lista Movimenti'!$D:$D, "&gt;=01/07/2026", 'Lista Movimenti'!$D:$D, "&lt;=31/07/2026")</f>
        <v>0</v>
      </c>
      <c r="J15" s="33">
        <f>SUMIFS('Lista Movimenti'!$C:$C, 'Lista Movimenti'!$B:$B, $B15, 'Lista Movimenti'!$E:$E, "Spesa", 'Lista Movimenti'!$D:$D, "&gt;=01/08/2026", 'Lista Movimenti'!$D:$D, "&lt;=31/08/2026")</f>
        <v>0</v>
      </c>
      <c r="K15" s="33">
        <f>SUMIFS('Lista Movimenti'!$C:$C, 'Lista Movimenti'!$B:$B, $B15, 'Lista Movimenti'!$E:$E, "Spesa", 'Lista Movimenti'!$D:$D, "&gt;=01/09/2026", 'Lista Movimenti'!$D:$D, "&lt;=30/09/2026")</f>
        <v>0</v>
      </c>
      <c r="L15" s="33">
        <f>SUMIFS('Lista Movimenti'!$C:$C, 'Lista Movimenti'!$B:$B, $B15, 'Lista Movimenti'!$E:$E, "Spesa", 'Lista Movimenti'!$D:$D, "&gt;=01/10/2026", 'Lista Movimenti'!$D:$D, "&lt;=31/10/2026")</f>
        <v>0</v>
      </c>
      <c r="M15" s="33">
        <f>SUMIFS('Lista Movimenti'!$C:$C, 'Lista Movimenti'!$B:$B, $B15, 'Lista Movimenti'!$E:$E, "Spesa", 'Lista Movimenti'!$D:$D, "&gt;=01/11/2026", 'Lista Movimenti'!$D:$D, "&lt;=30/11/2026")</f>
        <v>0</v>
      </c>
      <c r="N15" s="33">
        <f>SUMIFS('Lista Movimenti'!$C:$C, 'Lista Movimenti'!$B:$B, $B15, 'Lista Movimenti'!$E:$E, "Spesa", 'Lista Movimenti'!$D:$D, "&gt;=01/12/2026", 'Lista Movimenti'!$D:$D, "&lt;=31/12/2026")</f>
        <v>0</v>
      </c>
      <c r="O15" s="39">
        <f t="shared" si="4"/>
        <v>8.333333333</v>
      </c>
      <c r="P15" s="39">
        <v>50.0</v>
      </c>
      <c r="Q15" s="40">
        <f t="shared" si="5"/>
        <v>100</v>
      </c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</row>
    <row r="16" ht="22.5" customHeight="1">
      <c r="A16" s="38"/>
      <c r="B16" s="28" t="s">
        <v>14</v>
      </c>
      <c r="C16" s="33">
        <f>SUMIFS('Lista Movimenti'!C:C, 'Lista Movimenti'!B:B, B16, 'Lista Movimenti'!E:E, "Spesa", 'Lista Movimenti'!D:D, "&gt;=01/01/2026", 'Lista Movimenti'!D:D, "&lt;=31/01/2026")</f>
        <v>29</v>
      </c>
      <c r="D16" s="33">
        <f>SUMIFS('Lista Movimenti'!$C:$C, 'Lista Movimenti'!$B:$B, $B16, 'Lista Movimenti'!$E:$E, "Spesa", 'Lista Movimenti'!$D:$D, "&gt;=01/02/2026", 'Lista Movimenti'!$D:$D, "&lt;=28/02/2026")</f>
        <v>0</v>
      </c>
      <c r="E16" s="33">
        <f>SUMIFS('Lista Movimenti'!$C:$C, 'Lista Movimenti'!$B:$B, $B16, 'Lista Movimenti'!$E:$E, "Spesa", 'Lista Movimenti'!$D:$D, "&gt;=01/03/2026", 'Lista Movimenti'!$D:$D, "&lt;=31/03/2026")</f>
        <v>0</v>
      </c>
      <c r="F16" s="33">
        <f>SUMIFS('Lista Movimenti'!$C:$C, 'Lista Movimenti'!$B:$B, $B16, 'Lista Movimenti'!$E:$E, "Spesa", 'Lista Movimenti'!$D:$D, "&gt;=01/04/2026", 'Lista Movimenti'!$D:$D, "&lt;=30/04/2026")</f>
        <v>0</v>
      </c>
      <c r="G16" s="33">
        <f>SUMIFS('Lista Movimenti'!$C:$C, 'Lista Movimenti'!$B:$B, $B16, 'Lista Movimenti'!$E:$E, "Spesa", 'Lista Movimenti'!$D:$D, "&gt;=01/05/2026", 'Lista Movimenti'!$D:$D, "&lt;=31/05/2026")</f>
        <v>0</v>
      </c>
      <c r="H16" s="33">
        <f>SUMIFS('Lista Movimenti'!$C:$C, 'Lista Movimenti'!$B:$B, $B16, 'Lista Movimenti'!$E:$E, "Spesa", 'Lista Movimenti'!$D:$D, "&gt;=01/06/2026", 'Lista Movimenti'!$D:$D, "&lt;=30/06/2026")</f>
        <v>0</v>
      </c>
      <c r="I16" s="33">
        <f>SUMIFS('Lista Movimenti'!$C:$C, 'Lista Movimenti'!$B:$B, $B16, 'Lista Movimenti'!$E:$E, "Spesa", 'Lista Movimenti'!$D:$D, "&gt;=01/07/2026", 'Lista Movimenti'!$D:$D, "&lt;=31/07/2026")</f>
        <v>0</v>
      </c>
      <c r="J16" s="33">
        <f>SUMIFS('Lista Movimenti'!$C:$C, 'Lista Movimenti'!$B:$B, $B16, 'Lista Movimenti'!$E:$E, "Spesa", 'Lista Movimenti'!$D:$D, "&gt;=01/08/2026", 'Lista Movimenti'!$D:$D, "&lt;=31/08/2026")</f>
        <v>55</v>
      </c>
      <c r="K16" s="33">
        <f>SUMIFS('Lista Movimenti'!$C:$C, 'Lista Movimenti'!$B:$B, $B16, 'Lista Movimenti'!$E:$E, "Spesa", 'Lista Movimenti'!$D:$D, "&gt;=01/09/2026", 'Lista Movimenti'!$D:$D, "&lt;=30/09/2026")</f>
        <v>0</v>
      </c>
      <c r="L16" s="33">
        <f>SUMIFS('Lista Movimenti'!$C:$C, 'Lista Movimenti'!$B:$B, $B16, 'Lista Movimenti'!$E:$E, "Spesa", 'Lista Movimenti'!$D:$D, "&gt;=01/10/2026", 'Lista Movimenti'!$D:$D, "&lt;=31/10/2026")</f>
        <v>0</v>
      </c>
      <c r="M16" s="33">
        <f>SUMIFS('Lista Movimenti'!$C:$C, 'Lista Movimenti'!$B:$B, $B16, 'Lista Movimenti'!$E:$E, "Spesa", 'Lista Movimenti'!$D:$D, "&gt;=01/11/2026", 'Lista Movimenti'!$D:$D, "&lt;=30/11/2026")</f>
        <v>0</v>
      </c>
      <c r="N16" s="33">
        <f>SUMIFS('Lista Movimenti'!$C:$C, 'Lista Movimenti'!$B:$B, $B16, 'Lista Movimenti'!$E:$E, "Spesa", 'Lista Movimenti'!$D:$D, "&gt;=01/12/2026", 'Lista Movimenti'!$D:$D, "&lt;=31/12/2026")</f>
        <v>45</v>
      </c>
      <c r="O16" s="39">
        <f t="shared" si="4"/>
        <v>10.75</v>
      </c>
      <c r="P16" s="39">
        <v>40.0</v>
      </c>
      <c r="Q16" s="40">
        <f t="shared" si="5"/>
        <v>129</v>
      </c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</row>
    <row r="17" ht="22.5" customHeight="1">
      <c r="A17" s="38"/>
      <c r="B17" s="28" t="s">
        <v>19</v>
      </c>
      <c r="C17" s="33">
        <f>SUMIFS('Lista Movimenti'!C:C, 'Lista Movimenti'!B:B, B17, 'Lista Movimenti'!E:E, "Spesa", 'Lista Movimenti'!D:D, "&gt;=01/01/2026", 'Lista Movimenti'!D:D, "&lt;=31/01/2026")</f>
        <v>12</v>
      </c>
      <c r="D17" s="33">
        <f>SUMIFS('Lista Movimenti'!$C:$C, 'Lista Movimenti'!$B:$B, $B17, 'Lista Movimenti'!$E:$E, "Spesa", 'Lista Movimenti'!$D:$D, "&gt;=01/02/2026", 'Lista Movimenti'!$D:$D, "&lt;=28/02/2026")</f>
        <v>0</v>
      </c>
      <c r="E17" s="33">
        <f>SUMIFS('Lista Movimenti'!$C:$C, 'Lista Movimenti'!$B:$B, $B17, 'Lista Movimenti'!$E:$E, "Spesa", 'Lista Movimenti'!$D:$D, "&gt;=01/03/2026", 'Lista Movimenti'!$D:$D, "&lt;=31/03/2026")</f>
        <v>0</v>
      </c>
      <c r="F17" s="33">
        <f>SUMIFS('Lista Movimenti'!$C:$C, 'Lista Movimenti'!$B:$B, $B17, 'Lista Movimenti'!$E:$E, "Spesa", 'Lista Movimenti'!$D:$D, "&gt;=01/04/2026", 'Lista Movimenti'!$D:$D, "&lt;=30/04/2026")</f>
        <v>0</v>
      </c>
      <c r="G17" s="33">
        <f>SUMIFS('Lista Movimenti'!$C:$C, 'Lista Movimenti'!$B:$B, $B17, 'Lista Movimenti'!$E:$E, "Spesa", 'Lista Movimenti'!$D:$D, "&gt;=01/05/2026", 'Lista Movimenti'!$D:$D, "&lt;=31/05/2026")</f>
        <v>0</v>
      </c>
      <c r="H17" s="33">
        <f>SUMIFS('Lista Movimenti'!$C:$C, 'Lista Movimenti'!$B:$B, $B17, 'Lista Movimenti'!$E:$E, "Spesa", 'Lista Movimenti'!$D:$D, "&gt;=01/06/2026", 'Lista Movimenti'!$D:$D, "&lt;=30/06/2026")</f>
        <v>35</v>
      </c>
      <c r="I17" s="33">
        <f>SUMIFS('Lista Movimenti'!$C:$C, 'Lista Movimenti'!$B:$B, $B17, 'Lista Movimenti'!$E:$E, "Spesa", 'Lista Movimenti'!$D:$D, "&gt;=01/07/2026", 'Lista Movimenti'!$D:$D, "&lt;=31/07/2026")</f>
        <v>0</v>
      </c>
      <c r="J17" s="33">
        <f>SUMIFS('Lista Movimenti'!$C:$C, 'Lista Movimenti'!$B:$B, $B17, 'Lista Movimenti'!$E:$E, "Spesa", 'Lista Movimenti'!$D:$D, "&gt;=01/08/2026", 'Lista Movimenti'!$D:$D, "&lt;=31/08/2026")</f>
        <v>0</v>
      </c>
      <c r="K17" s="33">
        <f>SUMIFS('Lista Movimenti'!$C:$C, 'Lista Movimenti'!$B:$B, $B17, 'Lista Movimenti'!$E:$E, "Spesa", 'Lista Movimenti'!$D:$D, "&gt;=01/09/2026", 'Lista Movimenti'!$D:$D, "&lt;=30/09/2026")</f>
        <v>0</v>
      </c>
      <c r="L17" s="33">
        <f>SUMIFS('Lista Movimenti'!$C:$C, 'Lista Movimenti'!$B:$B, $B17, 'Lista Movimenti'!$E:$E, "Spesa", 'Lista Movimenti'!$D:$D, "&gt;=01/10/2026", 'Lista Movimenti'!$D:$D, "&lt;=31/10/2026")</f>
        <v>0</v>
      </c>
      <c r="M17" s="33">
        <f>SUMIFS('Lista Movimenti'!$C:$C, 'Lista Movimenti'!$B:$B, $B17, 'Lista Movimenti'!$E:$E, "Spesa", 'Lista Movimenti'!$D:$D, "&gt;=01/11/2026", 'Lista Movimenti'!$D:$D, "&lt;=30/11/2026")</f>
        <v>0</v>
      </c>
      <c r="N17" s="33">
        <f>SUMIFS('Lista Movimenti'!$C:$C, 'Lista Movimenti'!$B:$B, $B17, 'Lista Movimenti'!$E:$E, "Spesa", 'Lista Movimenti'!$D:$D, "&gt;=01/12/2026", 'Lista Movimenti'!$D:$D, "&lt;=31/12/2026")</f>
        <v>25</v>
      </c>
      <c r="O17" s="39">
        <f t="shared" si="4"/>
        <v>6</v>
      </c>
      <c r="P17" s="39">
        <v>15.0</v>
      </c>
      <c r="Q17" s="40">
        <f t="shared" si="5"/>
        <v>72</v>
      </c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</row>
    <row r="18" ht="22.5" customHeight="1">
      <c r="A18" s="38"/>
      <c r="B18" s="28" t="s">
        <v>22</v>
      </c>
      <c r="C18" s="33">
        <f>SUMIFS('Lista Movimenti'!C:C, 'Lista Movimenti'!B:B, B18, 'Lista Movimenti'!E:E, "Spesa", 'Lista Movimenti'!D:D, "&gt;=01/01/2026", 'Lista Movimenti'!D:D, "&lt;=31/01/2026")</f>
        <v>60</v>
      </c>
      <c r="D18" s="33">
        <f>SUMIFS('Lista Movimenti'!$C:$C, 'Lista Movimenti'!$B:$B, $B18, 'Lista Movimenti'!$E:$E, "Spesa", 'Lista Movimenti'!$D:$D, "&gt;=01/02/2026", 'Lista Movimenti'!$D:$D, "&lt;=28/02/2026")</f>
        <v>0</v>
      </c>
      <c r="E18" s="33">
        <f>SUMIFS('Lista Movimenti'!$C:$C, 'Lista Movimenti'!$B:$B, $B18, 'Lista Movimenti'!$E:$E, "Spesa", 'Lista Movimenti'!$D:$D, "&gt;=01/03/2026", 'Lista Movimenti'!$D:$D, "&lt;=31/03/2026")</f>
        <v>0</v>
      </c>
      <c r="F18" s="33">
        <f>SUMIFS('Lista Movimenti'!$C:$C, 'Lista Movimenti'!$B:$B, $B18, 'Lista Movimenti'!$E:$E, "Spesa", 'Lista Movimenti'!$D:$D, "&gt;=01/04/2026", 'Lista Movimenti'!$D:$D, "&lt;=30/04/2026")</f>
        <v>0</v>
      </c>
      <c r="G18" s="33">
        <f>SUMIFS('Lista Movimenti'!$C:$C, 'Lista Movimenti'!$B:$B, $B18, 'Lista Movimenti'!$E:$E, "Spesa", 'Lista Movimenti'!$D:$D, "&gt;=01/05/2026", 'Lista Movimenti'!$D:$D, "&lt;=31/05/2026")</f>
        <v>0</v>
      </c>
      <c r="H18" s="33">
        <f>SUMIFS('Lista Movimenti'!$C:$C, 'Lista Movimenti'!$B:$B, $B18, 'Lista Movimenti'!$E:$E, "Spesa", 'Lista Movimenti'!$D:$D, "&gt;=01/06/2026", 'Lista Movimenti'!$D:$D, "&lt;=30/06/2026")</f>
        <v>0</v>
      </c>
      <c r="I18" s="33">
        <f>SUMIFS('Lista Movimenti'!$C:$C, 'Lista Movimenti'!$B:$B, $B18, 'Lista Movimenti'!$E:$E, "Spesa", 'Lista Movimenti'!$D:$D, "&gt;=01/07/2026", 'Lista Movimenti'!$D:$D, "&lt;=31/07/2026")</f>
        <v>0</v>
      </c>
      <c r="J18" s="33">
        <f>SUMIFS('Lista Movimenti'!$C:$C, 'Lista Movimenti'!$B:$B, $B18, 'Lista Movimenti'!$E:$E, "Spesa", 'Lista Movimenti'!$D:$D, "&gt;=01/08/2026", 'Lista Movimenti'!$D:$D, "&lt;=31/08/2026")</f>
        <v>0</v>
      </c>
      <c r="K18" s="33">
        <f>SUMIFS('Lista Movimenti'!$C:$C, 'Lista Movimenti'!$B:$B, $B18, 'Lista Movimenti'!$E:$E, "Spesa", 'Lista Movimenti'!$D:$D, "&gt;=01/09/2026", 'Lista Movimenti'!$D:$D, "&lt;=30/09/2026")</f>
        <v>0</v>
      </c>
      <c r="L18" s="33">
        <f>SUMIFS('Lista Movimenti'!$C:$C, 'Lista Movimenti'!$B:$B, $B18, 'Lista Movimenti'!$E:$E, "Spesa", 'Lista Movimenti'!$D:$D, "&gt;=01/10/2026", 'Lista Movimenti'!$D:$D, "&lt;=31/10/2026")</f>
        <v>0</v>
      </c>
      <c r="M18" s="33">
        <f>SUMIFS('Lista Movimenti'!$C:$C, 'Lista Movimenti'!$B:$B, $B18, 'Lista Movimenti'!$E:$E, "Spesa", 'Lista Movimenti'!$D:$D, "&gt;=01/11/2026", 'Lista Movimenti'!$D:$D, "&lt;=30/11/2026")</f>
        <v>0</v>
      </c>
      <c r="N18" s="33">
        <f>SUMIFS('Lista Movimenti'!$C:$C, 'Lista Movimenti'!$B:$B, $B18, 'Lista Movimenti'!$E:$E, "Spesa", 'Lista Movimenti'!$D:$D, "&gt;=01/12/2026", 'Lista Movimenti'!$D:$D, "&lt;=31/12/2026")</f>
        <v>0</v>
      </c>
      <c r="O18" s="39">
        <f t="shared" si="4"/>
        <v>5</v>
      </c>
      <c r="P18" s="39">
        <v>45.0</v>
      </c>
      <c r="Q18" s="40">
        <f t="shared" si="5"/>
        <v>60</v>
      </c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</row>
    <row r="19" ht="22.5" customHeight="1">
      <c r="A19" s="38"/>
      <c r="B19" s="28" t="s">
        <v>16</v>
      </c>
      <c r="C19" s="33">
        <f>SUMIFS('Lista Movimenti'!C:C, 'Lista Movimenti'!B:B, B19, 'Lista Movimenti'!E:E, "Spesa", 'Lista Movimenti'!D:D, "&gt;=01/01/2026", 'Lista Movimenti'!D:D, "&lt;=31/01/2026")</f>
        <v>112</v>
      </c>
      <c r="D19" s="33">
        <f>SUMIFS('Lista Movimenti'!$C:$C, 'Lista Movimenti'!$B:$B, $B19, 'Lista Movimenti'!$E:$E, "Spesa", 'Lista Movimenti'!$D:$D, "&gt;=01/02/2026", 'Lista Movimenti'!$D:$D, "&lt;=28/02/2026")</f>
        <v>0</v>
      </c>
      <c r="E19" s="33">
        <f>SUMIFS('Lista Movimenti'!$C:$C, 'Lista Movimenti'!$B:$B, $B19, 'Lista Movimenti'!$E:$E, "Spesa", 'Lista Movimenti'!$D:$D, "&gt;=01/03/2026", 'Lista Movimenti'!$D:$D, "&lt;=31/03/2026")</f>
        <v>0</v>
      </c>
      <c r="F19" s="33">
        <f>SUMIFS('Lista Movimenti'!$C:$C, 'Lista Movimenti'!$B:$B, $B19, 'Lista Movimenti'!$E:$E, "Spesa", 'Lista Movimenti'!$D:$D, "&gt;=01/04/2026", 'Lista Movimenti'!$D:$D, "&lt;=30/04/2026")</f>
        <v>0</v>
      </c>
      <c r="G19" s="33">
        <f>SUMIFS('Lista Movimenti'!$C:$C, 'Lista Movimenti'!$B:$B, $B19, 'Lista Movimenti'!$E:$E, "Spesa", 'Lista Movimenti'!$D:$D, "&gt;=01/05/2026", 'Lista Movimenti'!$D:$D, "&lt;=31/05/2026")</f>
        <v>0</v>
      </c>
      <c r="H19" s="33">
        <f>SUMIFS('Lista Movimenti'!$C:$C, 'Lista Movimenti'!$B:$B, $B19, 'Lista Movimenti'!$E:$E, "Spesa", 'Lista Movimenti'!$D:$D, "&gt;=01/06/2026", 'Lista Movimenti'!$D:$D, "&lt;=30/06/2026")</f>
        <v>0</v>
      </c>
      <c r="I19" s="33">
        <f>SUMIFS('Lista Movimenti'!$C:$C, 'Lista Movimenti'!$B:$B, $B19, 'Lista Movimenti'!$E:$E, "Spesa", 'Lista Movimenti'!$D:$D, "&gt;=01/07/2026", 'Lista Movimenti'!$D:$D, "&lt;=31/07/2026")</f>
        <v>0</v>
      </c>
      <c r="J19" s="33">
        <f>SUMIFS('Lista Movimenti'!$C:$C, 'Lista Movimenti'!$B:$B, $B19, 'Lista Movimenti'!$E:$E, "Spesa", 'Lista Movimenti'!$D:$D, "&gt;=01/08/2026", 'Lista Movimenti'!$D:$D, "&lt;=31/08/2026")</f>
        <v>0</v>
      </c>
      <c r="K19" s="33">
        <f>SUMIFS('Lista Movimenti'!$C:$C, 'Lista Movimenti'!$B:$B, $B19, 'Lista Movimenti'!$E:$E, "Spesa", 'Lista Movimenti'!$D:$D, "&gt;=01/09/2026", 'Lista Movimenti'!$D:$D, "&lt;=30/09/2026")</f>
        <v>0</v>
      </c>
      <c r="L19" s="33">
        <f>SUMIFS('Lista Movimenti'!$C:$C, 'Lista Movimenti'!$B:$B, $B19, 'Lista Movimenti'!$E:$E, "Spesa", 'Lista Movimenti'!$D:$D, "&gt;=01/10/2026", 'Lista Movimenti'!$D:$D, "&lt;=31/10/2026")</f>
        <v>0</v>
      </c>
      <c r="M19" s="33">
        <f>SUMIFS('Lista Movimenti'!$C:$C, 'Lista Movimenti'!$B:$B, $B19, 'Lista Movimenti'!$E:$E, "Spesa", 'Lista Movimenti'!$D:$D, "&gt;=01/11/2026", 'Lista Movimenti'!$D:$D, "&lt;=30/11/2026")</f>
        <v>0</v>
      </c>
      <c r="N19" s="33">
        <f>SUMIFS('Lista Movimenti'!$C:$C, 'Lista Movimenti'!$B:$B, $B19, 'Lista Movimenti'!$E:$E, "Spesa", 'Lista Movimenti'!$D:$D, "&gt;=01/12/2026", 'Lista Movimenti'!$D:$D, "&lt;=31/12/2026")</f>
        <v>110</v>
      </c>
      <c r="O19" s="39">
        <f t="shared" si="4"/>
        <v>18.5</v>
      </c>
      <c r="P19" s="39">
        <v>35.0</v>
      </c>
      <c r="Q19" s="40">
        <f t="shared" si="5"/>
        <v>222</v>
      </c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</row>
    <row r="20" ht="22.5" customHeight="1">
      <c r="A20" s="41" t="s">
        <v>42</v>
      </c>
      <c r="B20" s="42" t="s">
        <v>43</v>
      </c>
      <c r="C20" s="43">
        <f t="shared" ref="C20:P20" si="6">SUM(C13:C19)</f>
        <v>668</v>
      </c>
      <c r="D20" s="43">
        <f t="shared" si="6"/>
        <v>780</v>
      </c>
      <c r="E20" s="43">
        <f t="shared" si="6"/>
        <v>0</v>
      </c>
      <c r="F20" s="43">
        <f t="shared" si="6"/>
        <v>300</v>
      </c>
      <c r="G20" s="43">
        <f t="shared" si="6"/>
        <v>0</v>
      </c>
      <c r="H20" s="43">
        <f t="shared" si="6"/>
        <v>35</v>
      </c>
      <c r="I20" s="43">
        <f t="shared" si="6"/>
        <v>599</v>
      </c>
      <c r="J20" s="43">
        <f t="shared" si="6"/>
        <v>55</v>
      </c>
      <c r="K20" s="43">
        <f t="shared" si="6"/>
        <v>0</v>
      </c>
      <c r="L20" s="43">
        <f t="shared" si="6"/>
        <v>100</v>
      </c>
      <c r="M20" s="43">
        <f t="shared" si="6"/>
        <v>200</v>
      </c>
      <c r="N20" s="43">
        <f t="shared" si="6"/>
        <v>180</v>
      </c>
      <c r="O20" s="43">
        <f t="shared" si="6"/>
        <v>243.0833333</v>
      </c>
      <c r="P20" s="43">
        <f t="shared" si="6"/>
        <v>665</v>
      </c>
      <c r="Q20" s="44">
        <f t="shared" si="5"/>
        <v>2917</v>
      </c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</row>
    <row r="21" ht="22.5" customHeight="1">
      <c r="A21" s="38"/>
      <c r="B21" s="31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</row>
    <row r="22" ht="22.5" customHeight="1">
      <c r="A22" s="45" t="s">
        <v>44</v>
      </c>
      <c r="B22" s="46" t="s">
        <v>45</v>
      </c>
      <c r="C22" s="47" t="s">
        <v>25</v>
      </c>
      <c r="D22" s="47" t="s">
        <v>26</v>
      </c>
      <c r="E22" s="47" t="s">
        <v>27</v>
      </c>
      <c r="F22" s="47" t="s">
        <v>28</v>
      </c>
      <c r="G22" s="47" t="s">
        <v>29</v>
      </c>
      <c r="H22" s="47" t="s">
        <v>30</v>
      </c>
      <c r="I22" s="47" t="s">
        <v>31</v>
      </c>
      <c r="J22" s="47" t="s">
        <v>32</v>
      </c>
      <c r="K22" s="47" t="s">
        <v>33</v>
      </c>
      <c r="L22" s="47" t="s">
        <v>34</v>
      </c>
      <c r="M22" s="47" t="s">
        <v>35</v>
      </c>
      <c r="N22" s="47" t="s">
        <v>36</v>
      </c>
      <c r="O22" s="47" t="s">
        <v>37</v>
      </c>
      <c r="P22" s="47" t="s">
        <v>38</v>
      </c>
      <c r="Q22" s="47" t="s">
        <v>39</v>
      </c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</row>
    <row r="23" ht="22.5" customHeight="1">
      <c r="A23" s="38"/>
      <c r="B23" s="28" t="s">
        <v>12</v>
      </c>
      <c r="C23" s="33">
        <f>SUMIFS('Lista Movimenti'!$C:$C, 'Lista Movimenti'!$B:$B, $B23, 'Lista Movimenti'!$E:$E, "Spesa", 'Lista Movimenti'!$D:$D, "&gt;=01/01/2026", 'Lista Movimenti'!$D:$D, "&lt;=31/01/2026")</f>
        <v>9</v>
      </c>
      <c r="D23" s="33">
        <f>SUMIFS('Lista Movimenti'!$C:$C, 'Lista Movimenti'!$B:$B, $B23, 'Lista Movimenti'!$E:$E, "Spesa", 'Lista Movimenti'!$D:$D, "&gt;=01/02/2026", 'Lista Movimenti'!$D:$D, "&lt;=28/02/2026")</f>
        <v>0</v>
      </c>
      <c r="E23" s="33">
        <f>SUMIFS('Lista Movimenti'!$C:$C, 'Lista Movimenti'!$B:$B, $B23, 'Lista Movimenti'!$E:$E, "Spesa", 'Lista Movimenti'!$D:$D, "&gt;=01/03/2026", 'Lista Movimenti'!$D:$D, "&lt;=31/03/2026")</f>
        <v>0</v>
      </c>
      <c r="F23" s="33">
        <f>SUMIFS('Lista Movimenti'!$C:$C, 'Lista Movimenti'!$B:$B, $B23, 'Lista Movimenti'!$E:$E, "Spesa", 'Lista Movimenti'!$D:$D, "&gt;=01/04/2026", 'Lista Movimenti'!$D:$D, "&lt;=30/04/2026")</f>
        <v>32</v>
      </c>
      <c r="G23" s="33">
        <f>SUMIFS('Lista Movimenti'!$C:$C, 'Lista Movimenti'!$B:$B, $B23, 'Lista Movimenti'!$E:$E, "Spesa", 'Lista Movimenti'!$D:$D, "&gt;=01/05/2026", 'Lista Movimenti'!$D:$D, "&lt;=31/05/2026")</f>
        <v>0</v>
      </c>
      <c r="H23" s="33">
        <f>SUMIFS('Lista Movimenti'!$C:$C, 'Lista Movimenti'!$B:$B, $B23, 'Lista Movimenti'!$E:$E, "Spesa", 'Lista Movimenti'!$D:$D, "&gt;=01/06/2026", 'Lista Movimenti'!$D:$D, "&lt;=30/06/2026")</f>
        <v>0</v>
      </c>
      <c r="I23" s="33">
        <f>SUMIFS('Lista Movimenti'!$C:$C, 'Lista Movimenti'!$B:$B, $B23, 'Lista Movimenti'!$E:$E, "Spesa", 'Lista Movimenti'!$D:$D, "&gt;=01/07/2026", 'Lista Movimenti'!$D:$D, "&lt;=31/07/2026")</f>
        <v>12</v>
      </c>
      <c r="J23" s="33">
        <f>SUMIFS('Lista Movimenti'!$C:$C, 'Lista Movimenti'!$B:$B, $B23, 'Lista Movimenti'!$E:$E, "Spesa", 'Lista Movimenti'!$D:$D, "&gt;=01/08/2026", 'Lista Movimenti'!$D:$D, "&lt;=31/08/2026")</f>
        <v>0</v>
      </c>
      <c r="K23" s="33">
        <f>SUMIFS('Lista Movimenti'!$C:$C, 'Lista Movimenti'!$B:$B, $B23, 'Lista Movimenti'!$E:$E, "Spesa", 'Lista Movimenti'!$D:$D, "&gt;=01/09/2026", 'Lista Movimenti'!$D:$D, "&lt;=30/09/2026")</f>
        <v>0</v>
      </c>
      <c r="L23" s="33">
        <f>SUMIFS('Lista Movimenti'!$C:$C, 'Lista Movimenti'!$B:$B, $B23, 'Lista Movimenti'!$E:$E, "Spesa", 'Lista Movimenti'!$D:$D, "&gt;=01/10/2026", 'Lista Movimenti'!$D:$D, "&lt;=31/10/2026")</f>
        <v>0</v>
      </c>
      <c r="M23" s="33">
        <f>SUMIFS('Lista Movimenti'!$C:$C, 'Lista Movimenti'!$B:$B, $B23, 'Lista Movimenti'!$E:$E, "Spesa", 'Lista Movimenti'!$D:$D, "&gt;=01/11/2026", 'Lista Movimenti'!$D:$D, "&lt;=30/11/2026")</f>
        <v>12</v>
      </c>
      <c r="N23" s="33">
        <f>SUMIFS('Lista Movimenti'!$C:$C, 'Lista Movimenti'!$B:$B, $B23, 'Lista Movimenti'!$E:$E, "Spesa", 'Lista Movimenti'!$D:$D, "&gt;=01/12/2026", 'Lista Movimenti'!$D:$D, "&lt;=31/12/2026")</f>
        <v>0</v>
      </c>
      <c r="O23" s="39">
        <f t="shared" ref="O23:O30" si="7">AVERAGE(C23:N23)</f>
        <v>5.416666667</v>
      </c>
      <c r="P23" s="39">
        <v>22.0</v>
      </c>
      <c r="Q23" s="40">
        <f t="shared" ref="Q23:Q31" si="8">SUM(C23:N23)</f>
        <v>65</v>
      </c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</row>
    <row r="24" ht="22.5" customHeight="1">
      <c r="A24" s="38"/>
      <c r="B24" s="28" t="s">
        <v>8</v>
      </c>
      <c r="C24" s="33">
        <f>SUMIFS('Lista Movimenti'!C:C, 'Lista Movimenti'!B:B, B24, 'Lista Movimenti'!E:E, "Spesa", 'Lista Movimenti'!D:D, "&gt;=01/01/2026", 'Lista Movimenti'!D:D, "&lt;=31/01/2026")</f>
        <v>64</v>
      </c>
      <c r="D24" s="33">
        <f>SUMIFS('Lista Movimenti'!$C:$C, 'Lista Movimenti'!$B:$B, $B24, 'Lista Movimenti'!$E:$E, "Spesa", 'Lista Movimenti'!$D:$D, "&gt;=01/02/2026", 'Lista Movimenti'!$D:$D, "&lt;=28/02/2026")</f>
        <v>79</v>
      </c>
      <c r="E24" s="33">
        <f>SUMIFS('Lista Movimenti'!$C:$C, 'Lista Movimenti'!$B:$B, $B24, 'Lista Movimenti'!$E:$E, "Spesa", 'Lista Movimenti'!$D:$D, "&gt;=01/03/2026", 'Lista Movimenti'!$D:$D, "&lt;=31/03/2026")</f>
        <v>0</v>
      </c>
      <c r="F24" s="33">
        <f>SUMIFS('Lista Movimenti'!$C:$C, 'Lista Movimenti'!$B:$B, $B24, 'Lista Movimenti'!$E:$E, "Spesa", 'Lista Movimenti'!$D:$D, "&gt;=01/04/2026", 'Lista Movimenti'!$D:$D, "&lt;=30/04/2026")</f>
        <v>0</v>
      </c>
      <c r="G24" s="33">
        <f>SUMIFS('Lista Movimenti'!$C:$C, 'Lista Movimenti'!$B:$B, $B24, 'Lista Movimenti'!$E:$E, "Spesa", 'Lista Movimenti'!$D:$D, "&gt;=01/05/2026", 'Lista Movimenti'!$D:$D, "&lt;=31/05/2026")</f>
        <v>0</v>
      </c>
      <c r="H24" s="33">
        <f>SUMIFS('Lista Movimenti'!$C:$C, 'Lista Movimenti'!$B:$B, $B24, 'Lista Movimenti'!$E:$E, "Spesa", 'Lista Movimenti'!$D:$D, "&gt;=01/06/2026", 'Lista Movimenti'!$D:$D, "&lt;=30/06/2026")</f>
        <v>0</v>
      </c>
      <c r="I24" s="33">
        <f>SUMIFS('Lista Movimenti'!$C:$C, 'Lista Movimenti'!$B:$B, $B24, 'Lista Movimenti'!$E:$E, "Spesa", 'Lista Movimenti'!$D:$D, "&gt;=01/07/2026", 'Lista Movimenti'!$D:$D, "&lt;=31/07/2026")</f>
        <v>0</v>
      </c>
      <c r="J24" s="33">
        <f>SUMIFS('Lista Movimenti'!$C:$C, 'Lista Movimenti'!$B:$B, $B24, 'Lista Movimenti'!$E:$E, "Spesa", 'Lista Movimenti'!$D:$D, "&gt;=01/08/2026", 'Lista Movimenti'!$D:$D, "&lt;=31/08/2026")</f>
        <v>0</v>
      </c>
      <c r="K24" s="33">
        <f>SUMIFS('Lista Movimenti'!$C:$C, 'Lista Movimenti'!$B:$B, $B24, 'Lista Movimenti'!$E:$E, "Spesa", 'Lista Movimenti'!$D:$D, "&gt;=01/09/2026", 'Lista Movimenti'!$D:$D, "&lt;=30/09/2026")</f>
        <v>0</v>
      </c>
      <c r="L24" s="33">
        <f>SUMIFS('Lista Movimenti'!$C:$C, 'Lista Movimenti'!$B:$B, $B24, 'Lista Movimenti'!$E:$E, "Spesa", 'Lista Movimenti'!$D:$D, "&gt;=01/10/2026", 'Lista Movimenti'!$D:$D, "&lt;=31/10/2026")</f>
        <v>0</v>
      </c>
      <c r="M24" s="33">
        <f>SUMIFS('Lista Movimenti'!$C:$C, 'Lista Movimenti'!$B:$B, $B24, 'Lista Movimenti'!$E:$E, "Spesa", 'Lista Movimenti'!$D:$D, "&gt;=01/11/2026", 'Lista Movimenti'!$D:$D, "&lt;=30/11/2026")</f>
        <v>0</v>
      </c>
      <c r="N24" s="33">
        <f>SUMIFS('Lista Movimenti'!$C:$C, 'Lista Movimenti'!$B:$B, $B24, 'Lista Movimenti'!$E:$E, "Spesa", 'Lista Movimenti'!$D:$D, "&gt;=01/12/2026", 'Lista Movimenti'!$D:$D, "&lt;=31/12/2026")</f>
        <v>120</v>
      </c>
      <c r="O24" s="39">
        <f t="shared" si="7"/>
        <v>21.91666667</v>
      </c>
      <c r="P24" s="39">
        <v>85.0</v>
      </c>
      <c r="Q24" s="40">
        <f t="shared" si="8"/>
        <v>263</v>
      </c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</row>
    <row r="25" ht="22.5" customHeight="1">
      <c r="A25" s="38"/>
      <c r="B25" s="28" t="s">
        <v>13</v>
      </c>
      <c r="C25" s="33">
        <f>SUMIFS('Lista Movimenti'!C:C, 'Lista Movimenti'!B:B, B25, 'Lista Movimenti'!E:E, "Spesa", 'Lista Movimenti'!D:D, "&gt;=01/01/2026", 'Lista Movimenti'!D:D, "&lt;=31/01/2026")</f>
        <v>36</v>
      </c>
      <c r="D25" s="33">
        <f>SUMIFS('Lista Movimenti'!$C:$C, 'Lista Movimenti'!$B:$B, $B25, 'Lista Movimenti'!$E:$E, "Spesa", 'Lista Movimenti'!$D:$D, "&gt;=01/02/2026", 'Lista Movimenti'!$D:$D, "&lt;=28/02/2026")</f>
        <v>0</v>
      </c>
      <c r="E25" s="33">
        <f>SUMIFS('Lista Movimenti'!$C:$C, 'Lista Movimenti'!$B:$B, $B25, 'Lista Movimenti'!$E:$E, "Spesa", 'Lista Movimenti'!$D:$D, "&gt;=01/03/2026", 'Lista Movimenti'!$D:$D, "&lt;=31/03/2026")</f>
        <v>0</v>
      </c>
      <c r="F25" s="33">
        <f>SUMIFS('Lista Movimenti'!$C:$C, 'Lista Movimenti'!$B:$B, $B25, 'Lista Movimenti'!$E:$E, "Spesa", 'Lista Movimenti'!$D:$D, "&gt;=01/04/2026", 'Lista Movimenti'!$D:$D, "&lt;=30/04/2026")</f>
        <v>0</v>
      </c>
      <c r="G25" s="33">
        <f>SUMIFS('Lista Movimenti'!$C:$C, 'Lista Movimenti'!$B:$B, $B25, 'Lista Movimenti'!$E:$E, "Spesa", 'Lista Movimenti'!$D:$D, "&gt;=01/05/2026", 'Lista Movimenti'!$D:$D, "&lt;=31/05/2026")</f>
        <v>24</v>
      </c>
      <c r="H25" s="33">
        <f>SUMIFS('Lista Movimenti'!$C:$C, 'Lista Movimenti'!$B:$B, $B25, 'Lista Movimenti'!$E:$E, "Spesa", 'Lista Movimenti'!$D:$D, "&gt;=01/06/2026", 'Lista Movimenti'!$D:$D, "&lt;=30/06/2026")</f>
        <v>22</v>
      </c>
      <c r="I25" s="33">
        <f>SUMIFS('Lista Movimenti'!$C:$C, 'Lista Movimenti'!$B:$B, $B25, 'Lista Movimenti'!$E:$E, "Spesa", 'Lista Movimenti'!$D:$D, "&gt;=01/07/2026", 'Lista Movimenti'!$D:$D, "&lt;=31/07/2026")</f>
        <v>120</v>
      </c>
      <c r="J25" s="33">
        <f>SUMIFS('Lista Movimenti'!$C:$C, 'Lista Movimenti'!$B:$B, $B25, 'Lista Movimenti'!$E:$E, "Spesa", 'Lista Movimenti'!$D:$D, "&gt;=01/08/2026", 'Lista Movimenti'!$D:$D, "&lt;=31/08/2026")</f>
        <v>0</v>
      </c>
      <c r="K25" s="33">
        <f>SUMIFS('Lista Movimenti'!$C:$C, 'Lista Movimenti'!$B:$B, $B25, 'Lista Movimenti'!$E:$E, "Spesa", 'Lista Movimenti'!$D:$D, "&gt;=01/09/2026", 'Lista Movimenti'!$D:$D, "&lt;=30/09/2026")</f>
        <v>0</v>
      </c>
      <c r="L25" s="33">
        <f>SUMIFS('Lista Movimenti'!$C:$C, 'Lista Movimenti'!$B:$B, $B25, 'Lista Movimenti'!$E:$E, "Spesa", 'Lista Movimenti'!$D:$D, "&gt;=01/10/2026", 'Lista Movimenti'!$D:$D, "&lt;=31/10/2026")</f>
        <v>0</v>
      </c>
      <c r="M25" s="33">
        <f>SUMIFS('Lista Movimenti'!$C:$C, 'Lista Movimenti'!$B:$B, $B25, 'Lista Movimenti'!$E:$E, "Spesa", 'Lista Movimenti'!$D:$D, "&gt;=01/11/2026", 'Lista Movimenti'!$D:$D, "&lt;=30/11/2026")</f>
        <v>0</v>
      </c>
      <c r="N25" s="33">
        <f>SUMIFS('Lista Movimenti'!$C:$C, 'Lista Movimenti'!$B:$B, $B25, 'Lista Movimenti'!$E:$E, "Spesa", 'Lista Movimenti'!$D:$D, "&gt;=01/12/2026", 'Lista Movimenti'!$D:$D, "&lt;=31/12/2026")</f>
        <v>0</v>
      </c>
      <c r="O25" s="39">
        <f t="shared" si="7"/>
        <v>16.83333333</v>
      </c>
      <c r="P25" s="39">
        <v>24.0</v>
      </c>
      <c r="Q25" s="40">
        <f t="shared" si="8"/>
        <v>202</v>
      </c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</row>
    <row r="26" ht="22.5" customHeight="1">
      <c r="A26" s="38"/>
      <c r="B26" s="28" t="s">
        <v>11</v>
      </c>
      <c r="C26" s="33">
        <f>SUMIFS('Lista Movimenti'!C:C, 'Lista Movimenti'!B:B, B26, 'Lista Movimenti'!E:E, "Spesa", 'Lista Movimenti'!D:D, "&gt;=01/01/2026", 'Lista Movimenti'!D:D, "&lt;=31/01/2026")</f>
        <v>200</v>
      </c>
      <c r="D26" s="33">
        <f>SUMIFS('Lista Movimenti'!$C:$C, 'Lista Movimenti'!$B:$B, $B26, 'Lista Movimenti'!$E:$E, "Spesa", 'Lista Movimenti'!$D:$D, "&gt;=01/02/2026", 'Lista Movimenti'!$D:$D, "&lt;=28/02/2026")</f>
        <v>0</v>
      </c>
      <c r="E26" s="33">
        <f>SUMIFS('Lista Movimenti'!$C:$C, 'Lista Movimenti'!$B:$B, $B26, 'Lista Movimenti'!$E:$E, "Spesa", 'Lista Movimenti'!$D:$D, "&gt;=01/03/2026", 'Lista Movimenti'!$D:$D, "&lt;=31/03/2026")</f>
        <v>0</v>
      </c>
      <c r="F26" s="33">
        <f>SUMIFS('Lista Movimenti'!$C:$C, 'Lista Movimenti'!$B:$B, $B26, 'Lista Movimenti'!$E:$E, "Spesa", 'Lista Movimenti'!$D:$D, "&gt;=01/04/2026", 'Lista Movimenti'!$D:$D, "&lt;=30/04/2026")</f>
        <v>0</v>
      </c>
      <c r="G26" s="33">
        <f>SUMIFS('Lista Movimenti'!$C:$C, 'Lista Movimenti'!$B:$B, $B26, 'Lista Movimenti'!$E:$E, "Spesa", 'Lista Movimenti'!$D:$D, "&gt;=01/05/2026", 'Lista Movimenti'!$D:$D, "&lt;=31/05/2026")</f>
        <v>50</v>
      </c>
      <c r="H26" s="33">
        <f>SUMIFS('Lista Movimenti'!$C:$C, 'Lista Movimenti'!$B:$B, $B26, 'Lista Movimenti'!$E:$E, "Spesa", 'Lista Movimenti'!$D:$D, "&gt;=01/06/2026", 'Lista Movimenti'!$D:$D, "&lt;=30/06/2026")</f>
        <v>0</v>
      </c>
      <c r="I26" s="33">
        <f>SUMIFS('Lista Movimenti'!$C:$C, 'Lista Movimenti'!$B:$B, $B26, 'Lista Movimenti'!$E:$E, "Spesa", 'Lista Movimenti'!$D:$D, "&gt;=01/07/2026", 'Lista Movimenti'!$D:$D, "&lt;=31/07/2026")</f>
        <v>0</v>
      </c>
      <c r="J26" s="33">
        <f>SUMIFS('Lista Movimenti'!$C:$C, 'Lista Movimenti'!$B:$B, $B26, 'Lista Movimenti'!$E:$E, "Spesa", 'Lista Movimenti'!$D:$D, "&gt;=01/08/2026", 'Lista Movimenti'!$D:$D, "&lt;=31/08/2026")</f>
        <v>0</v>
      </c>
      <c r="K26" s="33">
        <f>SUMIFS('Lista Movimenti'!$C:$C, 'Lista Movimenti'!$B:$B, $B26, 'Lista Movimenti'!$E:$E, "Spesa", 'Lista Movimenti'!$D:$D, "&gt;=01/09/2026", 'Lista Movimenti'!$D:$D, "&lt;=30/09/2026")</f>
        <v>0</v>
      </c>
      <c r="L26" s="33">
        <f>SUMIFS('Lista Movimenti'!$C:$C, 'Lista Movimenti'!$B:$B, $B26, 'Lista Movimenti'!$E:$E, "Spesa", 'Lista Movimenti'!$D:$D, "&gt;=01/10/2026", 'Lista Movimenti'!$D:$D, "&lt;=31/10/2026")</f>
        <v>0</v>
      </c>
      <c r="M26" s="33">
        <f>SUMIFS('Lista Movimenti'!$C:$C, 'Lista Movimenti'!$B:$B, $B26, 'Lista Movimenti'!$E:$E, "Spesa", 'Lista Movimenti'!$D:$D, "&gt;=01/11/2026", 'Lista Movimenti'!$D:$D, "&lt;=30/11/2026")</f>
        <v>0</v>
      </c>
      <c r="N26" s="33">
        <f>SUMIFS('Lista Movimenti'!$C:$C, 'Lista Movimenti'!$B:$B, $B26, 'Lista Movimenti'!$E:$E, "Spesa", 'Lista Movimenti'!$D:$D, "&gt;=01/12/2026", 'Lista Movimenti'!$D:$D, "&lt;=31/12/2026")</f>
        <v>0</v>
      </c>
      <c r="O26" s="39">
        <f t="shared" si="7"/>
        <v>20.83333333</v>
      </c>
      <c r="P26" s="39">
        <v>20.0</v>
      </c>
      <c r="Q26" s="40">
        <f t="shared" si="8"/>
        <v>250</v>
      </c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</row>
    <row r="27" ht="22.5" customHeight="1">
      <c r="A27" s="38"/>
      <c r="B27" s="28" t="s">
        <v>5</v>
      </c>
      <c r="C27" s="33">
        <f>SUMIFS('Lista Movimenti'!C:C, 'Lista Movimenti'!B:B, B27, 'Lista Movimenti'!E:E, "Spesa", 'Lista Movimenti'!D:D, "&gt;=01/01/2026", 'Lista Movimenti'!D:D, "&lt;=31/01/2026")</f>
        <v>0</v>
      </c>
      <c r="D27" s="33">
        <f>SUMIFS('Lista Movimenti'!$C:$C, 'Lista Movimenti'!$B:$B, $B27, 'Lista Movimenti'!$E:$E, "Spesa", 'Lista Movimenti'!$D:$D, "&gt;=01/02/2026", 'Lista Movimenti'!$D:$D, "&lt;=28/02/2026")</f>
        <v>0</v>
      </c>
      <c r="E27" s="33">
        <f>SUMIFS('Lista Movimenti'!$C:$C, 'Lista Movimenti'!$B:$B, $B27, 'Lista Movimenti'!$E:$E, "Spesa", 'Lista Movimenti'!$D:$D, "&gt;=01/03/2026", 'Lista Movimenti'!$D:$D, "&lt;=31/03/2026")</f>
        <v>350</v>
      </c>
      <c r="F27" s="33">
        <f>SUMIFS('Lista Movimenti'!$C:$C, 'Lista Movimenti'!$B:$B, $B27, 'Lista Movimenti'!$E:$E, "Spesa", 'Lista Movimenti'!$D:$D, "&gt;=01/04/2026", 'Lista Movimenti'!$D:$D, "&lt;=30/04/2026")</f>
        <v>0</v>
      </c>
      <c r="G27" s="33">
        <f>SUMIFS('Lista Movimenti'!$C:$C, 'Lista Movimenti'!$B:$B, $B27, 'Lista Movimenti'!$E:$E, "Spesa", 'Lista Movimenti'!$D:$D, "&gt;=01/05/2026", 'Lista Movimenti'!$D:$D, "&lt;=31/05/2026")</f>
        <v>300</v>
      </c>
      <c r="H27" s="33">
        <f>SUMIFS('Lista Movimenti'!$C:$C, 'Lista Movimenti'!$B:$B, $B27, 'Lista Movimenti'!$E:$E, "Spesa", 'Lista Movimenti'!$D:$D, "&gt;=01/06/2026", 'Lista Movimenti'!$D:$D, "&lt;=30/06/2026")</f>
        <v>0</v>
      </c>
      <c r="I27" s="33">
        <f>SUMIFS('Lista Movimenti'!$C:$C, 'Lista Movimenti'!$B:$B, $B27, 'Lista Movimenti'!$E:$E, "Spesa", 'Lista Movimenti'!$D:$D, "&gt;=01/07/2026", 'Lista Movimenti'!$D:$D, "&lt;=31/07/2026")</f>
        <v>120</v>
      </c>
      <c r="J27" s="33">
        <f>SUMIFS('Lista Movimenti'!$C:$C, 'Lista Movimenti'!$B:$B, $B27, 'Lista Movimenti'!$E:$E, "Spesa", 'Lista Movimenti'!$D:$D, "&gt;=01/08/2026", 'Lista Movimenti'!$D:$D, "&lt;=31/08/2026")</f>
        <v>0</v>
      </c>
      <c r="K27" s="33">
        <f>SUMIFS('Lista Movimenti'!$C:$C, 'Lista Movimenti'!$B:$B, $B27, 'Lista Movimenti'!$E:$E, "Spesa", 'Lista Movimenti'!$D:$D, "&gt;=01/09/2026", 'Lista Movimenti'!$D:$D, "&lt;=30/09/2026")</f>
        <v>150</v>
      </c>
      <c r="L27" s="33">
        <f>SUMIFS('Lista Movimenti'!$C:$C, 'Lista Movimenti'!$B:$B, $B27, 'Lista Movimenti'!$E:$E, "Spesa", 'Lista Movimenti'!$D:$D, "&gt;=01/10/2026", 'Lista Movimenti'!$D:$D, "&lt;=31/10/2026")</f>
        <v>0</v>
      </c>
      <c r="M27" s="33">
        <f>SUMIFS('Lista Movimenti'!$C:$C, 'Lista Movimenti'!$B:$B, $B27, 'Lista Movimenti'!$E:$E, "Spesa", 'Lista Movimenti'!$D:$D, "&gt;=01/11/2026", 'Lista Movimenti'!$D:$D, "&lt;=30/11/2026")</f>
        <v>0</v>
      </c>
      <c r="N27" s="33">
        <f>SUMIFS('Lista Movimenti'!$C:$C, 'Lista Movimenti'!$B:$B, $B27, 'Lista Movimenti'!$E:$E, "Spesa", 'Lista Movimenti'!$D:$D, "&gt;=01/12/2026", 'Lista Movimenti'!$D:$D, "&lt;=31/12/2026")</f>
        <v>0</v>
      </c>
      <c r="O27" s="39">
        <f t="shared" si="7"/>
        <v>76.66666667</v>
      </c>
      <c r="P27" s="39">
        <v>60.0</v>
      </c>
      <c r="Q27" s="40">
        <f t="shared" si="8"/>
        <v>920</v>
      </c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</row>
    <row r="28" ht="22.5" customHeight="1">
      <c r="A28" s="38"/>
      <c r="B28" s="28" t="s">
        <v>18</v>
      </c>
      <c r="C28" s="33">
        <f>SUMIFS('Lista Movimenti'!C:C, 'Lista Movimenti'!B:B, B28, 'Lista Movimenti'!E:E, "Spesa", 'Lista Movimenti'!D:D, "&gt;=01/01/2026", 'Lista Movimenti'!D:D, "&lt;=31/01/2026")</f>
        <v>32</v>
      </c>
      <c r="D28" s="33">
        <f>SUMIFS('Lista Movimenti'!$C:$C, 'Lista Movimenti'!$B:$B, $B28, 'Lista Movimenti'!$E:$E, "Spesa", 'Lista Movimenti'!$D:$D, "&gt;=01/02/2026", 'Lista Movimenti'!$D:$D, "&lt;=28/02/2026")</f>
        <v>0</v>
      </c>
      <c r="E28" s="33">
        <f>SUMIFS('Lista Movimenti'!$C:$C, 'Lista Movimenti'!$B:$B, $B28, 'Lista Movimenti'!$E:$E, "Spesa", 'Lista Movimenti'!$D:$D, "&gt;=01/03/2026", 'Lista Movimenti'!$D:$D, "&lt;=31/03/2026")</f>
        <v>0</v>
      </c>
      <c r="F28" s="33">
        <f>SUMIFS('Lista Movimenti'!$C:$C, 'Lista Movimenti'!$B:$B, $B28, 'Lista Movimenti'!$E:$E, "Spesa", 'Lista Movimenti'!$D:$D, "&gt;=01/04/2026", 'Lista Movimenti'!$D:$D, "&lt;=30/04/2026")</f>
        <v>0</v>
      </c>
      <c r="G28" s="33">
        <f>SUMIFS('Lista Movimenti'!$C:$C, 'Lista Movimenti'!$B:$B, $B28, 'Lista Movimenti'!$E:$E, "Spesa", 'Lista Movimenti'!$D:$D, "&gt;=01/05/2026", 'Lista Movimenti'!$D:$D, "&lt;=31/05/2026")</f>
        <v>0</v>
      </c>
      <c r="H28" s="33">
        <f>SUMIFS('Lista Movimenti'!$C:$C, 'Lista Movimenti'!$B:$B, $B28, 'Lista Movimenti'!$E:$E, "Spesa", 'Lista Movimenti'!$D:$D, "&gt;=01/06/2026", 'Lista Movimenti'!$D:$D, "&lt;=30/06/2026")</f>
        <v>0</v>
      </c>
      <c r="I28" s="33">
        <f>SUMIFS('Lista Movimenti'!$C:$C, 'Lista Movimenti'!$B:$B, $B28, 'Lista Movimenti'!$E:$E, "Spesa", 'Lista Movimenti'!$D:$D, "&gt;=01/07/2026", 'Lista Movimenti'!$D:$D, "&lt;=31/07/2026")</f>
        <v>0</v>
      </c>
      <c r="J28" s="33">
        <f>SUMIFS('Lista Movimenti'!$C:$C, 'Lista Movimenti'!$B:$B, $B28, 'Lista Movimenti'!$E:$E, "Spesa", 'Lista Movimenti'!$D:$D, "&gt;=01/08/2026", 'Lista Movimenti'!$D:$D, "&lt;=31/08/2026")</f>
        <v>10</v>
      </c>
      <c r="K28" s="33">
        <f>SUMIFS('Lista Movimenti'!$C:$C, 'Lista Movimenti'!$B:$B, $B28, 'Lista Movimenti'!$E:$E, "Spesa", 'Lista Movimenti'!$D:$D, "&gt;=01/09/2026", 'Lista Movimenti'!$D:$D, "&lt;=30/09/2026")</f>
        <v>0</v>
      </c>
      <c r="L28" s="33">
        <f>SUMIFS('Lista Movimenti'!$C:$C, 'Lista Movimenti'!$B:$B, $B28, 'Lista Movimenti'!$E:$E, "Spesa", 'Lista Movimenti'!$D:$D, "&gt;=01/10/2026", 'Lista Movimenti'!$D:$D, "&lt;=31/10/2026")</f>
        <v>10</v>
      </c>
      <c r="M28" s="33">
        <f>SUMIFS('Lista Movimenti'!$C:$C, 'Lista Movimenti'!$B:$B, $B28, 'Lista Movimenti'!$E:$E, "Spesa", 'Lista Movimenti'!$D:$D, "&gt;=01/11/2026", 'Lista Movimenti'!$D:$D, "&lt;=30/11/2026")</f>
        <v>0</v>
      </c>
      <c r="N28" s="33">
        <f>SUMIFS('Lista Movimenti'!$C:$C, 'Lista Movimenti'!$B:$B, $B28, 'Lista Movimenti'!$E:$E, "Spesa", 'Lista Movimenti'!$D:$D, "&gt;=01/12/2026", 'Lista Movimenti'!$D:$D, "&lt;=31/12/2026")</f>
        <v>0</v>
      </c>
      <c r="O28" s="39">
        <f t="shared" si="7"/>
        <v>4.333333333</v>
      </c>
      <c r="P28" s="39">
        <v>40.0</v>
      </c>
      <c r="Q28" s="40">
        <f t="shared" si="8"/>
        <v>52</v>
      </c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</row>
    <row r="29" ht="22.5" customHeight="1">
      <c r="A29" s="38"/>
      <c r="B29" s="28" t="s">
        <v>17</v>
      </c>
      <c r="C29" s="33">
        <f>SUMIFS('Lista Movimenti'!C:C, 'Lista Movimenti'!B:B, B29, 'Lista Movimenti'!E:E, "Spesa", 'Lista Movimenti'!D:D, "&gt;=01/01/2026", 'Lista Movimenti'!D:D, "&lt;=31/01/2026")</f>
        <v>100</v>
      </c>
      <c r="D29" s="33">
        <f>SUMIFS('Lista Movimenti'!$C:$C, 'Lista Movimenti'!$B:$B, $B29, 'Lista Movimenti'!$E:$E, "Spesa", 'Lista Movimenti'!$D:$D, "&gt;=01/02/2026", 'Lista Movimenti'!$D:$D, "&lt;=28/02/2026")</f>
        <v>0</v>
      </c>
      <c r="E29" s="33">
        <f>SUMIFS('Lista Movimenti'!$C:$C, 'Lista Movimenti'!$B:$B, $B29, 'Lista Movimenti'!$E:$E, "Spesa", 'Lista Movimenti'!$D:$D, "&gt;=01/03/2026", 'Lista Movimenti'!$D:$D, "&lt;=31/03/2026")</f>
        <v>30</v>
      </c>
      <c r="F29" s="33">
        <f>SUMIFS('Lista Movimenti'!$C:$C, 'Lista Movimenti'!$B:$B, $B29, 'Lista Movimenti'!$E:$E, "Spesa", 'Lista Movimenti'!$D:$D, "&gt;=01/04/2026", 'Lista Movimenti'!$D:$D, "&lt;=30/04/2026")</f>
        <v>0</v>
      </c>
      <c r="G29" s="33">
        <f>SUMIFS('Lista Movimenti'!$C:$C, 'Lista Movimenti'!$B:$B, $B29, 'Lista Movimenti'!$E:$E, "Spesa", 'Lista Movimenti'!$D:$D, "&gt;=01/05/2026", 'Lista Movimenti'!$D:$D, "&lt;=31/05/2026")</f>
        <v>0</v>
      </c>
      <c r="H29" s="33">
        <f>SUMIFS('Lista Movimenti'!$C:$C, 'Lista Movimenti'!$B:$B, $B29, 'Lista Movimenti'!$E:$E, "Spesa", 'Lista Movimenti'!$D:$D, "&gt;=01/06/2026", 'Lista Movimenti'!$D:$D, "&lt;=30/06/2026")</f>
        <v>0</v>
      </c>
      <c r="I29" s="33">
        <f>SUMIFS('Lista Movimenti'!$C:$C, 'Lista Movimenti'!$B:$B, $B29, 'Lista Movimenti'!$E:$E, "Spesa", 'Lista Movimenti'!$D:$D, "&gt;=01/07/2026", 'Lista Movimenti'!$D:$D, "&lt;=31/07/2026")</f>
        <v>20</v>
      </c>
      <c r="J29" s="33">
        <f>SUMIFS('Lista Movimenti'!$C:$C, 'Lista Movimenti'!$B:$B, $B29, 'Lista Movimenti'!$E:$E, "Spesa", 'Lista Movimenti'!$D:$D, "&gt;=01/08/2026", 'Lista Movimenti'!$D:$D, "&lt;=31/08/2026")</f>
        <v>0</v>
      </c>
      <c r="K29" s="33">
        <f>SUMIFS('Lista Movimenti'!$C:$C, 'Lista Movimenti'!$B:$B, $B29, 'Lista Movimenti'!$E:$E, "Spesa", 'Lista Movimenti'!$D:$D, "&gt;=01/09/2026", 'Lista Movimenti'!$D:$D, "&lt;=30/09/2026")</f>
        <v>0</v>
      </c>
      <c r="L29" s="33">
        <f>SUMIFS('Lista Movimenti'!$C:$C, 'Lista Movimenti'!$B:$B, $B29, 'Lista Movimenti'!$E:$E, "Spesa", 'Lista Movimenti'!$D:$D, "&gt;=01/10/2026", 'Lista Movimenti'!$D:$D, "&lt;=31/10/2026")</f>
        <v>0</v>
      </c>
      <c r="M29" s="33">
        <f>SUMIFS('Lista Movimenti'!$C:$C, 'Lista Movimenti'!$B:$B, $B29, 'Lista Movimenti'!$E:$E, "Spesa", 'Lista Movimenti'!$D:$D, "&gt;=01/11/2026", 'Lista Movimenti'!$D:$D, "&lt;=30/11/2026")</f>
        <v>0</v>
      </c>
      <c r="N29" s="33">
        <f>SUMIFS('Lista Movimenti'!$C:$C, 'Lista Movimenti'!$B:$B, $B29, 'Lista Movimenti'!$E:$E, "Spesa", 'Lista Movimenti'!$D:$D, "&gt;=01/12/2026", 'Lista Movimenti'!$D:$D, "&lt;=31/12/2026")</f>
        <v>0</v>
      </c>
      <c r="O29" s="39">
        <f t="shared" si="7"/>
        <v>12.5</v>
      </c>
      <c r="P29" s="39">
        <v>95.0</v>
      </c>
      <c r="Q29" s="40">
        <f t="shared" si="8"/>
        <v>150</v>
      </c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</row>
    <row r="30" ht="22.5" customHeight="1">
      <c r="A30" s="38"/>
      <c r="B30" s="28" t="s">
        <v>7</v>
      </c>
      <c r="C30" s="33">
        <f>SUMIFS('Lista Movimenti'!C:C, 'Lista Movimenti'!B:B, B30, 'Lista Movimenti'!E:E, "Spesa", 'Lista Movimenti'!D:D, "&gt;=01/01/2026", 'Lista Movimenti'!D:D, "&lt;=31/01/2026")</f>
        <v>0</v>
      </c>
      <c r="D30" s="33">
        <f>SUMIFS('Lista Movimenti'!$C:$C, 'Lista Movimenti'!$B:$B, $B30, 'Lista Movimenti'!$E:$E, "Spesa", 'Lista Movimenti'!$D:$D, "&gt;=01/02/2026", 'Lista Movimenti'!$D:$D, "&lt;=28/02/2026")</f>
        <v>112</v>
      </c>
      <c r="E30" s="33">
        <f>SUMIFS('Lista Movimenti'!$C:$C, 'Lista Movimenti'!$B:$B, $B30, 'Lista Movimenti'!$E:$E, "Spesa", 'Lista Movimenti'!$D:$D, "&gt;=01/03/2026", 'Lista Movimenti'!$D:$D, "&lt;=31/03/2026")</f>
        <v>0</v>
      </c>
      <c r="F30" s="33">
        <f>SUMIFS('Lista Movimenti'!$C:$C, 'Lista Movimenti'!$B:$B, $B30, 'Lista Movimenti'!$E:$E, "Spesa", 'Lista Movimenti'!$D:$D, "&gt;=01/04/2026", 'Lista Movimenti'!$D:$D, "&lt;=30/04/2026")</f>
        <v>0</v>
      </c>
      <c r="G30" s="33">
        <f>SUMIFS('Lista Movimenti'!$C:$C, 'Lista Movimenti'!$B:$B, $B30, 'Lista Movimenti'!$E:$E, "Spesa", 'Lista Movimenti'!$D:$D, "&gt;=01/05/2026", 'Lista Movimenti'!$D:$D, "&lt;=31/05/2026")</f>
        <v>0</v>
      </c>
      <c r="H30" s="33">
        <f>SUMIFS('Lista Movimenti'!$C:$C, 'Lista Movimenti'!$B:$B, $B30, 'Lista Movimenti'!$E:$E, "Spesa", 'Lista Movimenti'!$D:$D, "&gt;=01/06/2026", 'Lista Movimenti'!$D:$D, "&lt;=30/06/2026")</f>
        <v>0</v>
      </c>
      <c r="I30" s="33">
        <f>SUMIFS('Lista Movimenti'!$C:$C, 'Lista Movimenti'!$B:$B, $B30, 'Lista Movimenti'!$E:$E, "Spesa", 'Lista Movimenti'!$D:$D, "&gt;=01/07/2026", 'Lista Movimenti'!$D:$D, "&lt;=31/07/2026")</f>
        <v>30</v>
      </c>
      <c r="J30" s="33">
        <f>SUMIFS('Lista Movimenti'!$C:$C, 'Lista Movimenti'!$B:$B, $B30, 'Lista Movimenti'!$E:$E, "Spesa", 'Lista Movimenti'!$D:$D, "&gt;=01/08/2026", 'Lista Movimenti'!$D:$D, "&lt;=31/08/2026")</f>
        <v>0</v>
      </c>
      <c r="K30" s="33">
        <f>SUMIFS('Lista Movimenti'!$C:$C, 'Lista Movimenti'!$B:$B, $B30, 'Lista Movimenti'!$E:$E, "Spesa", 'Lista Movimenti'!$D:$D, "&gt;=01/09/2026", 'Lista Movimenti'!$D:$D, "&lt;=30/09/2026")</f>
        <v>0</v>
      </c>
      <c r="L30" s="33">
        <f>SUMIFS('Lista Movimenti'!$C:$C, 'Lista Movimenti'!$B:$B, $B30, 'Lista Movimenti'!$E:$E, "Spesa", 'Lista Movimenti'!$D:$D, "&gt;=01/10/2026", 'Lista Movimenti'!$D:$D, "&lt;=31/10/2026")</f>
        <v>0</v>
      </c>
      <c r="M30" s="33">
        <f>SUMIFS('Lista Movimenti'!$C:$C, 'Lista Movimenti'!$B:$B, $B30, 'Lista Movimenti'!$E:$E, "Spesa", 'Lista Movimenti'!$D:$D, "&gt;=01/11/2026", 'Lista Movimenti'!$D:$D, "&lt;=30/11/2026")</f>
        <v>0</v>
      </c>
      <c r="N30" s="33">
        <f>SUMIFS('Lista Movimenti'!$C:$C, 'Lista Movimenti'!$B:$B, $B30, 'Lista Movimenti'!$E:$E, "Spesa", 'Lista Movimenti'!$D:$D, "&gt;=01/12/2026", 'Lista Movimenti'!$D:$D, "&lt;=31/12/2026")</f>
        <v>0</v>
      </c>
      <c r="O30" s="39">
        <f t="shared" si="7"/>
        <v>11.83333333</v>
      </c>
      <c r="P30" s="39">
        <v>13.0</v>
      </c>
      <c r="Q30" s="40">
        <f t="shared" si="8"/>
        <v>142</v>
      </c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</row>
    <row r="31" ht="22.5" customHeight="1">
      <c r="A31" s="45" t="s">
        <v>46</v>
      </c>
      <c r="B31" s="46" t="s">
        <v>45</v>
      </c>
      <c r="C31" s="48">
        <f t="shared" ref="C31:P31" si="9">SUM(C23:C30)</f>
        <v>441</v>
      </c>
      <c r="D31" s="48">
        <f t="shared" si="9"/>
        <v>191</v>
      </c>
      <c r="E31" s="48">
        <f t="shared" si="9"/>
        <v>380</v>
      </c>
      <c r="F31" s="48">
        <f t="shared" si="9"/>
        <v>32</v>
      </c>
      <c r="G31" s="48">
        <f t="shared" si="9"/>
        <v>374</v>
      </c>
      <c r="H31" s="48">
        <f t="shared" si="9"/>
        <v>22</v>
      </c>
      <c r="I31" s="48">
        <f t="shared" si="9"/>
        <v>302</v>
      </c>
      <c r="J31" s="48">
        <f t="shared" si="9"/>
        <v>10</v>
      </c>
      <c r="K31" s="48">
        <f t="shared" si="9"/>
        <v>150</v>
      </c>
      <c r="L31" s="48">
        <f t="shared" si="9"/>
        <v>10</v>
      </c>
      <c r="M31" s="48">
        <f t="shared" si="9"/>
        <v>12</v>
      </c>
      <c r="N31" s="48">
        <f t="shared" si="9"/>
        <v>120</v>
      </c>
      <c r="O31" s="48">
        <f t="shared" si="9"/>
        <v>170.3333333</v>
      </c>
      <c r="P31" s="48">
        <f t="shared" si="9"/>
        <v>359</v>
      </c>
      <c r="Q31" s="49">
        <f t="shared" si="8"/>
        <v>2044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</row>
    <row r="32" ht="22.5" customHeight="1">
      <c r="A32" s="38"/>
      <c r="B32" s="31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</row>
    <row r="33" ht="22.5" customHeight="1">
      <c r="A33" s="50" t="s">
        <v>47</v>
      </c>
      <c r="B33" s="51"/>
      <c r="C33" s="52">
        <f t="shared" ref="C33:Q33" si="10">(C31 + C20)</f>
        <v>1109</v>
      </c>
      <c r="D33" s="52">
        <f t="shared" si="10"/>
        <v>971</v>
      </c>
      <c r="E33" s="52">
        <f t="shared" si="10"/>
        <v>380</v>
      </c>
      <c r="F33" s="52">
        <f t="shared" si="10"/>
        <v>332</v>
      </c>
      <c r="G33" s="52">
        <f t="shared" si="10"/>
        <v>374</v>
      </c>
      <c r="H33" s="52">
        <f t="shared" si="10"/>
        <v>57</v>
      </c>
      <c r="I33" s="52">
        <f t="shared" si="10"/>
        <v>901</v>
      </c>
      <c r="J33" s="52">
        <f t="shared" si="10"/>
        <v>65</v>
      </c>
      <c r="K33" s="52">
        <f t="shared" si="10"/>
        <v>150</v>
      </c>
      <c r="L33" s="52">
        <f t="shared" si="10"/>
        <v>110</v>
      </c>
      <c r="M33" s="52">
        <f t="shared" si="10"/>
        <v>212</v>
      </c>
      <c r="N33" s="52">
        <f t="shared" si="10"/>
        <v>300</v>
      </c>
      <c r="O33" s="52">
        <f t="shared" si="10"/>
        <v>413.4166667</v>
      </c>
      <c r="P33" s="52">
        <f t="shared" si="10"/>
        <v>1024</v>
      </c>
      <c r="Q33" s="53">
        <f t="shared" si="10"/>
        <v>4961</v>
      </c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</row>
    <row r="34" ht="22.5" customHeight="1">
      <c r="A34" s="32" t="s">
        <v>48</v>
      </c>
      <c r="B34" s="31"/>
      <c r="C34" s="33">
        <f t="shared" ref="C34:O34" si="11">(B8-C33)</f>
        <v>441</v>
      </c>
      <c r="D34" s="33">
        <f t="shared" si="11"/>
        <v>429</v>
      </c>
      <c r="E34" s="33">
        <f t="shared" si="11"/>
        <v>1130</v>
      </c>
      <c r="F34" s="33">
        <f t="shared" si="11"/>
        <v>968</v>
      </c>
      <c r="G34" s="33">
        <f t="shared" si="11"/>
        <v>886</v>
      </c>
      <c r="H34" s="33">
        <f t="shared" si="11"/>
        <v>1393</v>
      </c>
      <c r="I34" s="33">
        <f t="shared" si="11"/>
        <v>99</v>
      </c>
      <c r="J34" s="33">
        <f t="shared" si="11"/>
        <v>1245</v>
      </c>
      <c r="K34" s="33">
        <f t="shared" si="11"/>
        <v>1350</v>
      </c>
      <c r="L34" s="33">
        <f t="shared" si="11"/>
        <v>1510</v>
      </c>
      <c r="M34" s="33">
        <f t="shared" si="11"/>
        <v>938</v>
      </c>
      <c r="N34" s="33">
        <f t="shared" si="11"/>
        <v>1150</v>
      </c>
      <c r="O34" s="33">
        <f t="shared" si="11"/>
        <v>961.5833333</v>
      </c>
      <c r="P34" s="33"/>
      <c r="Q34" s="54">
        <f>(P8-Q33)</f>
        <v>11539</v>
      </c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</row>
    <row r="35">
      <c r="A35" s="19"/>
      <c r="B35" s="55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</row>
    <row r="36">
      <c r="A36" s="17"/>
      <c r="B36" s="18"/>
      <c r="C36" s="17"/>
      <c r="D36" s="17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</row>
    <row r="37" ht="22.5" customHeight="1">
      <c r="A37" s="23" t="s">
        <v>1</v>
      </c>
      <c r="B37" s="22" t="s">
        <v>25</v>
      </c>
      <c r="C37" s="23" t="s">
        <v>26</v>
      </c>
      <c r="D37" s="23" t="s">
        <v>27</v>
      </c>
      <c r="E37" s="23" t="s">
        <v>28</v>
      </c>
      <c r="F37" s="23" t="s">
        <v>29</v>
      </c>
      <c r="G37" s="23" t="s">
        <v>30</v>
      </c>
      <c r="H37" s="23" t="s">
        <v>31</v>
      </c>
      <c r="I37" s="23" t="s">
        <v>32</v>
      </c>
      <c r="J37" s="23" t="s">
        <v>33</v>
      </c>
      <c r="K37" s="23" t="s">
        <v>34</v>
      </c>
      <c r="L37" s="23" t="s">
        <v>35</v>
      </c>
      <c r="M37" s="23" t="s">
        <v>36</v>
      </c>
      <c r="N37" s="23" t="s">
        <v>37</v>
      </c>
      <c r="O37" s="23" t="s">
        <v>38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</row>
    <row r="38" ht="22.5" customHeight="1">
      <c r="A38" s="28" t="s">
        <v>15</v>
      </c>
      <c r="B38" s="33">
        <f>SUMIFS('Lista Movimenti'!$C:$C, 'Lista Movimenti'!$B:$B, $A38, 'Lista Movimenti'!$E:$E, "Risparmio", 'Lista Movimenti'!$D:$D, "&gt;=01/01/2026", 'Lista Movimenti'!$D:$D, "&lt;=31/01/2026")</f>
        <v>0</v>
      </c>
      <c r="C38" s="33">
        <f>SUMIFS('Lista Movimenti'!$C:$C, 'Lista Movimenti'!$B:$B, $A38, 'Lista Movimenti'!$E:$E, "Risparmio", 'Lista Movimenti'!$D:$D, "&gt;=01/02/2026", 'Lista Movimenti'!$D:$D, "&lt;=28/02/2026")</f>
        <v>0</v>
      </c>
      <c r="D38" s="33">
        <f>SUMIFS('Lista Movimenti'!$C:$C, 'Lista Movimenti'!$B:$B, $A38, 'Lista Movimenti'!$E:$E, "Risparmio", 'Lista Movimenti'!$D:$D, "&gt;=01/03/2026", 'Lista Movimenti'!$D:$D, "&lt;=31/03/2026")</f>
        <v>0</v>
      </c>
      <c r="E38" s="33">
        <f>SUMIFS('Lista Movimenti'!$C:$C, 'Lista Movimenti'!$B:$B, $A38, 'Lista Movimenti'!$E:$E, "Risparmio", 'Lista Movimenti'!$D:$D, "&gt;=01/04/2026", 'Lista Movimenti'!$D:$D, "&lt;=30/04/2026")</f>
        <v>300</v>
      </c>
      <c r="F38" s="33">
        <f>SUMIFS('Lista Movimenti'!$C:$C, 'Lista Movimenti'!$B:$B, $A38, 'Lista Movimenti'!$E:$E, "Risparmio", 'Lista Movimenti'!$D:$D, "&gt;=01/05/2026", 'Lista Movimenti'!$D:$D, "&lt;=31/05/2026")</f>
        <v>500</v>
      </c>
      <c r="G38" s="33">
        <f>SUMIFS('Lista Movimenti'!$C:$C, 'Lista Movimenti'!$B:$B, $A38, 'Lista Movimenti'!$E:$E, "Risparmio", 'Lista Movimenti'!$D:$D, "&gt;=01/06/2026", 'Lista Movimenti'!$D:$D, "&lt;=30/06/2026")</f>
        <v>0</v>
      </c>
      <c r="H38" s="33">
        <f>SUMIFS('Lista Movimenti'!$C:$C, 'Lista Movimenti'!$B:$B, $A38, 'Lista Movimenti'!$E:$E, "Risparmio", 'Lista Movimenti'!$D:$D, "&gt;=01/07/2026", 'Lista Movimenti'!$D:$D, "&lt;=31/07/2026")</f>
        <v>0</v>
      </c>
      <c r="I38" s="33">
        <f>SUMIFS('Lista Movimenti'!$C:$C, 'Lista Movimenti'!$B:$B, $A38, 'Lista Movimenti'!$E:$E, "Risparmio", 'Lista Movimenti'!$D:$D, "&gt;=01/08/2026", 'Lista Movimenti'!$D:$D, "&lt;=31/08/2026")</f>
        <v>0</v>
      </c>
      <c r="J38" s="33">
        <f>SUMIFS('Lista Movimenti'!$C:$C, 'Lista Movimenti'!$B:$B, $A38, 'Lista Movimenti'!$E:$E, "Risparmio", 'Lista Movimenti'!$D:$D, "&gt;=01/09/2026", 'Lista Movimenti'!$D:$D, "&lt;=30/09/2026")</f>
        <v>230</v>
      </c>
      <c r="K38" s="33">
        <f>SUMIFS('Lista Movimenti'!$C:$C, 'Lista Movimenti'!$B:$B, $A38, 'Lista Movimenti'!$E:$E, "Risparmio", 'Lista Movimenti'!$D:$D, "&gt;=01/10/2026", 'Lista Movimenti'!$D:$D, "&lt;=31/10/2026")</f>
        <v>115</v>
      </c>
      <c r="L38" s="33">
        <f>SUMIFS('Lista Movimenti'!$C:$C, 'Lista Movimenti'!$B:$B, $A38, 'Lista Movimenti'!$E:$E, "Risparmio", 'Lista Movimenti'!$D:$D, "&gt;=01/11/2026", 'Lista Movimenti'!$D:$D, "&lt;=30/11/2026")</f>
        <v>0</v>
      </c>
      <c r="M38" s="33">
        <f>SUMIFS('Lista Movimenti'!$C:$C, 'Lista Movimenti'!$B:$B, $A38, 'Lista Movimenti'!$E:$E, "Risparmio", 'Lista Movimenti'!$D:$D, "&gt;=01/12/2026", 'Lista Movimenti'!$D:$D, "&lt;=31/12/2026")</f>
        <v>250</v>
      </c>
      <c r="N38" s="33">
        <f t="shared" ref="N38:N54" si="12">AVERAGE(B38:M38)</f>
        <v>116.25</v>
      </c>
      <c r="O38" s="33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</row>
    <row r="39" ht="22.5" customHeight="1">
      <c r="A39" s="28" t="s">
        <v>10</v>
      </c>
      <c r="B39" s="33">
        <f>SUMIFS('Lista Movimenti'!C:C, 'Lista Movimenti'!B:B, A39, 'Lista Movimenti'!E:E, "Risparmio", 'Lista Movimenti'!D:D, "&gt;=01/01/2026", 'Lista Movimenti'!D:D, "&lt;=31/01/2026")</f>
        <v>0</v>
      </c>
      <c r="C39" s="33">
        <f>SUMIFS('Lista Movimenti'!$C:$C, 'Lista Movimenti'!$B:$B, $A39, 'Lista Movimenti'!$E:$E, "Risparmio", 'Lista Movimenti'!$D:$D, "&gt;=01/02/2026", 'Lista Movimenti'!$D:$D, "&lt;=28/02/2026")</f>
        <v>0</v>
      </c>
      <c r="D39" s="33">
        <f>SUMIFS('Lista Movimenti'!$C:$C, 'Lista Movimenti'!$B:$B, $A39, 'Lista Movimenti'!$E:$E, "Risparmio", 'Lista Movimenti'!$D:$D, "&gt;=01/03/2026", 'Lista Movimenti'!$D:$D, "&lt;=31/03/2026")</f>
        <v>0</v>
      </c>
      <c r="E39" s="33">
        <f>SUMIFS('Lista Movimenti'!$C:$C, 'Lista Movimenti'!$B:$B, $A39, 'Lista Movimenti'!$E:$E, "Risparmio", 'Lista Movimenti'!$D:$D, "&gt;=01/04/2026", 'Lista Movimenti'!$D:$D, "&lt;=30/04/2026")</f>
        <v>0</v>
      </c>
      <c r="F39" s="33">
        <f>SUMIFS('Lista Movimenti'!$C:$C, 'Lista Movimenti'!$B:$B, $A39, 'Lista Movimenti'!$E:$E, "Risparmio", 'Lista Movimenti'!$D:$D, "&gt;=01/05/2026", 'Lista Movimenti'!$D:$D, "&lt;=31/05/2026")</f>
        <v>0</v>
      </c>
      <c r="G39" s="33">
        <f>SUMIFS('Lista Movimenti'!$C:$C, 'Lista Movimenti'!$B:$B, $A39, 'Lista Movimenti'!$E:$E, "Risparmio", 'Lista Movimenti'!$D:$D, "&gt;=01/06/2026", 'Lista Movimenti'!$D:$D, "&lt;=30/06/2026")</f>
        <v>0</v>
      </c>
      <c r="H39" s="33">
        <f>SUMIFS('Lista Movimenti'!$C:$C, 'Lista Movimenti'!$B:$B, $A39, 'Lista Movimenti'!$E:$E, "Risparmio", 'Lista Movimenti'!$D:$D, "&gt;=01/07/2026", 'Lista Movimenti'!$D:$D, "&lt;=31/07/2026")</f>
        <v>0</v>
      </c>
      <c r="I39" s="33">
        <f>SUMIFS('Lista Movimenti'!$C:$C, 'Lista Movimenti'!$B:$B, $A39, 'Lista Movimenti'!$E:$E, "Risparmio", 'Lista Movimenti'!$D:$D, "&gt;=01/08/2026", 'Lista Movimenti'!$D:$D, "&lt;=31/08/2026")</f>
        <v>0</v>
      </c>
      <c r="J39" s="33">
        <f>SUMIFS('Lista Movimenti'!$C:$C, 'Lista Movimenti'!$B:$B, $A39, 'Lista Movimenti'!$E:$E, "Risparmio", 'Lista Movimenti'!$D:$D, "&gt;=01/09/2026", 'Lista Movimenti'!$D:$D, "&lt;=30/09/2026")</f>
        <v>0</v>
      </c>
      <c r="K39" s="33">
        <f>SUMIFS('Lista Movimenti'!$C:$C, 'Lista Movimenti'!$B:$B, $A39, 'Lista Movimenti'!$E:$E, "Risparmio", 'Lista Movimenti'!$D:$D, "&gt;=01/10/2026", 'Lista Movimenti'!$D:$D, "&lt;=31/10/2026")</f>
        <v>0</v>
      </c>
      <c r="L39" s="33">
        <f>SUMIFS('Lista Movimenti'!$C:$C, 'Lista Movimenti'!$B:$B, $A39, 'Lista Movimenti'!$E:$E, "Risparmio", 'Lista Movimenti'!$D:$D, "&gt;=01/11/2026", 'Lista Movimenti'!$D:$D, "&lt;=30/11/2026")</f>
        <v>0</v>
      </c>
      <c r="M39" s="33">
        <f>SUMIFS('Lista Movimenti'!$C:$C, 'Lista Movimenti'!$B:$B, $A39, 'Lista Movimenti'!$E:$E, "Risparmio", 'Lista Movimenti'!$D:$D, "&gt;=01/12/2026", 'Lista Movimenti'!$D:$D, "&lt;=31/12/2026")</f>
        <v>0</v>
      </c>
      <c r="N39" s="33">
        <f t="shared" si="12"/>
        <v>0</v>
      </c>
      <c r="O39" s="33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</row>
    <row r="40" ht="22.5" customHeight="1">
      <c r="A40" s="28" t="s">
        <v>23</v>
      </c>
      <c r="B40" s="33">
        <f>SUMIFS('Lista Movimenti'!C:C, 'Lista Movimenti'!B:B, A40, 'Lista Movimenti'!E:E, "Risparmio", 'Lista Movimenti'!D:D, "&gt;=01/01/2026", 'Lista Movimenti'!D:D, "&lt;=31/01/2026")</f>
        <v>0</v>
      </c>
      <c r="C40" s="33">
        <f>SUMIFS('Lista Movimenti'!$C:$C, 'Lista Movimenti'!$B:$B, $A40, 'Lista Movimenti'!$E:$E, "Risparmio", 'Lista Movimenti'!$D:$D, "&gt;=01/02/2026", 'Lista Movimenti'!$D:$D, "&lt;=28/02/2026")</f>
        <v>0</v>
      </c>
      <c r="D40" s="33">
        <f>SUMIFS('Lista Movimenti'!$C:$C, 'Lista Movimenti'!$B:$B, $A40, 'Lista Movimenti'!$E:$E, "Risparmio", 'Lista Movimenti'!$D:$D, "&gt;=01/03/2026", 'Lista Movimenti'!$D:$D, "&lt;=31/03/2026")</f>
        <v>0</v>
      </c>
      <c r="E40" s="33">
        <f>SUMIFS('Lista Movimenti'!$C:$C, 'Lista Movimenti'!$B:$B, $A40, 'Lista Movimenti'!$E:$E, "Risparmio", 'Lista Movimenti'!$D:$D, "&gt;=01/04/2026", 'Lista Movimenti'!$D:$D, "&lt;=30/04/2026")</f>
        <v>0</v>
      </c>
      <c r="F40" s="33">
        <f>SUMIFS('Lista Movimenti'!$C:$C, 'Lista Movimenti'!$B:$B, $A40, 'Lista Movimenti'!$E:$E, "Risparmio", 'Lista Movimenti'!$D:$D, "&gt;=01/05/2026", 'Lista Movimenti'!$D:$D, "&lt;=31/05/2026")</f>
        <v>0</v>
      </c>
      <c r="G40" s="33">
        <f>SUMIFS('Lista Movimenti'!$C:$C, 'Lista Movimenti'!$B:$B, $A40, 'Lista Movimenti'!$E:$E, "Risparmio", 'Lista Movimenti'!$D:$D, "&gt;=01/06/2026", 'Lista Movimenti'!$D:$D, "&lt;=30/06/2026")</f>
        <v>0</v>
      </c>
      <c r="H40" s="33">
        <f>SUMIFS('Lista Movimenti'!$C:$C, 'Lista Movimenti'!$B:$B, $A40, 'Lista Movimenti'!$E:$E, "Risparmio", 'Lista Movimenti'!$D:$D, "&gt;=01/07/2026", 'Lista Movimenti'!$D:$D, "&lt;=31/07/2026")</f>
        <v>0</v>
      </c>
      <c r="I40" s="33">
        <f>SUMIFS('Lista Movimenti'!$C:$C, 'Lista Movimenti'!$B:$B, $A40, 'Lista Movimenti'!$E:$E, "Risparmio", 'Lista Movimenti'!$D:$D, "&gt;=01/08/2026", 'Lista Movimenti'!$D:$D, "&lt;=31/08/2026")</f>
        <v>0</v>
      </c>
      <c r="J40" s="33">
        <f>SUMIFS('Lista Movimenti'!$C:$C, 'Lista Movimenti'!$B:$B, $A40, 'Lista Movimenti'!$E:$E, "Risparmio", 'Lista Movimenti'!$D:$D, "&gt;=01/09/2026", 'Lista Movimenti'!$D:$D, "&lt;=30/09/2026")</f>
        <v>0</v>
      </c>
      <c r="K40" s="33">
        <f>SUMIFS('Lista Movimenti'!$C:$C, 'Lista Movimenti'!$B:$B, $A40, 'Lista Movimenti'!$E:$E, "Risparmio", 'Lista Movimenti'!$D:$D, "&gt;=01/10/2026", 'Lista Movimenti'!$D:$D, "&lt;=31/10/2026")</f>
        <v>0</v>
      </c>
      <c r="L40" s="33">
        <f>SUMIFS('Lista Movimenti'!$C:$C, 'Lista Movimenti'!$B:$B, $A40, 'Lista Movimenti'!$E:$E, "Risparmio", 'Lista Movimenti'!$D:$D, "&gt;=01/11/2026", 'Lista Movimenti'!$D:$D, "&lt;=30/11/2026")</f>
        <v>0</v>
      </c>
      <c r="M40" s="33">
        <f>SUMIFS('Lista Movimenti'!$C:$C, 'Lista Movimenti'!$B:$B, $A40, 'Lista Movimenti'!$E:$E, "Risparmio", 'Lista Movimenti'!$D:$D, "&gt;=01/12/2026", 'Lista Movimenti'!$D:$D, "&lt;=31/12/2026")</f>
        <v>0</v>
      </c>
      <c r="N40" s="33">
        <f t="shared" si="12"/>
        <v>0</v>
      </c>
      <c r="O40" s="33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</row>
    <row r="41" ht="22.5" customHeight="1">
      <c r="A41" s="28" t="s">
        <v>14</v>
      </c>
      <c r="B41" s="33">
        <f>SUMIFS('Lista Movimenti'!C:C, 'Lista Movimenti'!B:B, A41, 'Lista Movimenti'!E:E, "Risparmio", 'Lista Movimenti'!D:D, "&gt;=01/01/2026", 'Lista Movimenti'!D:D, "&lt;=31/01/2026")</f>
        <v>0</v>
      </c>
      <c r="C41" s="33">
        <f>SUMIFS('Lista Movimenti'!$C:$C, 'Lista Movimenti'!$B:$B, $A41, 'Lista Movimenti'!$E:$E, "Risparmio", 'Lista Movimenti'!$D:$D, "&gt;=01/02/2026", 'Lista Movimenti'!$D:$D, "&lt;=28/02/2026")</f>
        <v>0</v>
      </c>
      <c r="D41" s="33">
        <f>SUMIFS('Lista Movimenti'!$C:$C, 'Lista Movimenti'!$B:$B, $A41, 'Lista Movimenti'!$E:$E, "Risparmio", 'Lista Movimenti'!$D:$D, "&gt;=01/03/2026", 'Lista Movimenti'!$D:$D, "&lt;=31/03/2026")</f>
        <v>0</v>
      </c>
      <c r="E41" s="33">
        <f>SUMIFS('Lista Movimenti'!$C:$C, 'Lista Movimenti'!$B:$B, $A41, 'Lista Movimenti'!$E:$E, "Risparmio", 'Lista Movimenti'!$D:$D, "&gt;=01/04/2026", 'Lista Movimenti'!$D:$D, "&lt;=30/04/2026")</f>
        <v>0</v>
      </c>
      <c r="F41" s="33">
        <f>SUMIFS('Lista Movimenti'!$C:$C, 'Lista Movimenti'!$B:$B, $A41, 'Lista Movimenti'!$E:$E, "Risparmio", 'Lista Movimenti'!$D:$D, "&gt;=01/05/2026", 'Lista Movimenti'!$D:$D, "&lt;=31/05/2026")</f>
        <v>0</v>
      </c>
      <c r="G41" s="33">
        <f>SUMIFS('Lista Movimenti'!$C:$C, 'Lista Movimenti'!$B:$B, $A41, 'Lista Movimenti'!$E:$E, "Risparmio", 'Lista Movimenti'!$D:$D, "&gt;=01/06/2026", 'Lista Movimenti'!$D:$D, "&lt;=30/06/2026")</f>
        <v>0</v>
      </c>
      <c r="H41" s="33">
        <f>SUMIFS('Lista Movimenti'!$C:$C, 'Lista Movimenti'!$B:$B, $A41, 'Lista Movimenti'!$E:$E, "Risparmio", 'Lista Movimenti'!$D:$D, "&gt;=01/07/2026", 'Lista Movimenti'!$D:$D, "&lt;=31/07/2026")</f>
        <v>0</v>
      </c>
      <c r="I41" s="33">
        <f>SUMIFS('Lista Movimenti'!$C:$C, 'Lista Movimenti'!$B:$B, $A41, 'Lista Movimenti'!$E:$E, "Risparmio", 'Lista Movimenti'!$D:$D, "&gt;=01/08/2026", 'Lista Movimenti'!$D:$D, "&lt;=31/08/2026")</f>
        <v>0</v>
      </c>
      <c r="J41" s="33">
        <f>SUMIFS('Lista Movimenti'!$C:$C, 'Lista Movimenti'!$B:$B, $A41, 'Lista Movimenti'!$E:$E, "Risparmio", 'Lista Movimenti'!$D:$D, "&gt;=01/09/2026", 'Lista Movimenti'!$D:$D, "&lt;=30/09/2026")</f>
        <v>0</v>
      </c>
      <c r="K41" s="33">
        <f>SUMIFS('Lista Movimenti'!$C:$C, 'Lista Movimenti'!$B:$B, $A41, 'Lista Movimenti'!$E:$E, "Risparmio", 'Lista Movimenti'!$D:$D, "&gt;=01/10/2026", 'Lista Movimenti'!$D:$D, "&lt;=31/10/2026")</f>
        <v>1500</v>
      </c>
      <c r="L41" s="33">
        <f>SUMIFS('Lista Movimenti'!$C:$C, 'Lista Movimenti'!$B:$B, $A41, 'Lista Movimenti'!$E:$E, "Risparmio", 'Lista Movimenti'!$D:$D, "&gt;=01/11/2026", 'Lista Movimenti'!$D:$D, "&lt;=30/11/2026")</f>
        <v>0</v>
      </c>
      <c r="M41" s="33">
        <f>SUMIFS('Lista Movimenti'!$C:$C, 'Lista Movimenti'!$B:$B, $A41, 'Lista Movimenti'!$E:$E, "Risparmio", 'Lista Movimenti'!$D:$D, "&gt;=01/12/2026", 'Lista Movimenti'!$D:$D, "&lt;=31/12/2026")</f>
        <v>0</v>
      </c>
      <c r="N41" s="33">
        <f t="shared" si="12"/>
        <v>125</v>
      </c>
      <c r="O41" s="33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</row>
    <row r="42" ht="22.5" customHeight="1">
      <c r="A42" s="28" t="s">
        <v>19</v>
      </c>
      <c r="B42" s="33">
        <f>SUMIFS('Lista Movimenti'!C:C, 'Lista Movimenti'!B:B, A42, 'Lista Movimenti'!E:E, "Risparmio", 'Lista Movimenti'!D:D, "&gt;=01/01/2026", 'Lista Movimenti'!D:D, "&lt;=31/01/2026")</f>
        <v>0</v>
      </c>
      <c r="C42" s="33">
        <f>SUMIFS('Lista Movimenti'!$C:$C, 'Lista Movimenti'!$B:$B, $A42, 'Lista Movimenti'!$E:$E, "Risparmio", 'Lista Movimenti'!$D:$D, "&gt;=01/02/2026", 'Lista Movimenti'!$D:$D, "&lt;=28/02/2026")</f>
        <v>0</v>
      </c>
      <c r="D42" s="33">
        <f>SUMIFS('Lista Movimenti'!$C:$C, 'Lista Movimenti'!$B:$B, $A42, 'Lista Movimenti'!$E:$E, "Risparmio", 'Lista Movimenti'!$D:$D, "&gt;=01/03/2026", 'Lista Movimenti'!$D:$D, "&lt;=31/03/2026")</f>
        <v>0</v>
      </c>
      <c r="E42" s="33">
        <f>SUMIFS('Lista Movimenti'!$C:$C, 'Lista Movimenti'!$B:$B, $A42, 'Lista Movimenti'!$E:$E, "Risparmio", 'Lista Movimenti'!$D:$D, "&gt;=01/04/2026", 'Lista Movimenti'!$D:$D, "&lt;=30/04/2026")</f>
        <v>0</v>
      </c>
      <c r="F42" s="33">
        <f>SUMIFS('Lista Movimenti'!$C:$C, 'Lista Movimenti'!$B:$B, $A42, 'Lista Movimenti'!$E:$E, "Risparmio", 'Lista Movimenti'!$D:$D, "&gt;=01/05/2026", 'Lista Movimenti'!$D:$D, "&lt;=31/05/2026")</f>
        <v>0</v>
      </c>
      <c r="G42" s="33">
        <f>SUMIFS('Lista Movimenti'!$C:$C, 'Lista Movimenti'!$B:$B, $A42, 'Lista Movimenti'!$E:$E, "Risparmio", 'Lista Movimenti'!$D:$D, "&gt;=01/06/2026", 'Lista Movimenti'!$D:$D, "&lt;=30/06/2026")</f>
        <v>0</v>
      </c>
      <c r="H42" s="33">
        <f>SUMIFS('Lista Movimenti'!$C:$C, 'Lista Movimenti'!$B:$B, $A42, 'Lista Movimenti'!$E:$E, "Risparmio", 'Lista Movimenti'!$D:$D, "&gt;=01/07/2026", 'Lista Movimenti'!$D:$D, "&lt;=31/07/2026")</f>
        <v>0</v>
      </c>
      <c r="I42" s="33">
        <f>SUMIFS('Lista Movimenti'!$C:$C, 'Lista Movimenti'!$B:$B, $A42, 'Lista Movimenti'!$E:$E, "Risparmio", 'Lista Movimenti'!$D:$D, "&gt;=01/08/2026", 'Lista Movimenti'!$D:$D, "&lt;=31/08/2026")</f>
        <v>0</v>
      </c>
      <c r="J42" s="33">
        <f>SUMIFS('Lista Movimenti'!$C:$C, 'Lista Movimenti'!$B:$B, $A42, 'Lista Movimenti'!$E:$E, "Risparmio", 'Lista Movimenti'!$D:$D, "&gt;=01/09/2026", 'Lista Movimenti'!$D:$D, "&lt;=30/09/2026")</f>
        <v>0</v>
      </c>
      <c r="K42" s="33">
        <f>SUMIFS('Lista Movimenti'!$C:$C, 'Lista Movimenti'!$B:$B, $A42, 'Lista Movimenti'!$E:$E, "Risparmio", 'Lista Movimenti'!$D:$D, "&gt;=01/10/2026", 'Lista Movimenti'!$D:$D, "&lt;=31/10/2026")</f>
        <v>0</v>
      </c>
      <c r="L42" s="33">
        <f>SUMIFS('Lista Movimenti'!$C:$C, 'Lista Movimenti'!$B:$B, $A42, 'Lista Movimenti'!$E:$E, "Risparmio", 'Lista Movimenti'!$D:$D, "&gt;=01/11/2026", 'Lista Movimenti'!$D:$D, "&lt;=30/11/2026")</f>
        <v>0</v>
      </c>
      <c r="M42" s="33">
        <f>SUMIFS('Lista Movimenti'!$C:$C, 'Lista Movimenti'!$B:$B, $A42, 'Lista Movimenti'!$E:$E, "Risparmio", 'Lista Movimenti'!$D:$D, "&gt;=01/12/2026", 'Lista Movimenti'!$D:$D, "&lt;=31/12/2026")</f>
        <v>0</v>
      </c>
      <c r="N42" s="33">
        <f t="shared" si="12"/>
        <v>0</v>
      </c>
      <c r="O42" s="33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</row>
    <row r="43" ht="22.5" customHeight="1">
      <c r="A43" s="28" t="s">
        <v>22</v>
      </c>
      <c r="B43" s="33">
        <f>SUMIFS('Lista Movimenti'!C:C, 'Lista Movimenti'!B:B, A43, 'Lista Movimenti'!E:E, "Risparmio", 'Lista Movimenti'!D:D, "&gt;=01/01/2026", 'Lista Movimenti'!D:D, "&lt;=31/01/2026")</f>
        <v>0</v>
      </c>
      <c r="C43" s="33">
        <f>SUMIFS('Lista Movimenti'!$C:$C, 'Lista Movimenti'!$B:$B, $A43, 'Lista Movimenti'!$E:$E, "Risparmio", 'Lista Movimenti'!$D:$D, "&gt;=01/02/2026", 'Lista Movimenti'!$D:$D, "&lt;=28/02/2026")</f>
        <v>0</v>
      </c>
      <c r="D43" s="33">
        <f>SUMIFS('Lista Movimenti'!$C:$C, 'Lista Movimenti'!$B:$B, $A43, 'Lista Movimenti'!$E:$E, "Risparmio", 'Lista Movimenti'!$D:$D, "&gt;=01/03/2026", 'Lista Movimenti'!$D:$D, "&lt;=31/03/2026")</f>
        <v>0</v>
      </c>
      <c r="E43" s="33">
        <f>SUMIFS('Lista Movimenti'!$C:$C, 'Lista Movimenti'!$B:$B, $A43, 'Lista Movimenti'!$E:$E, "Risparmio", 'Lista Movimenti'!$D:$D, "&gt;=01/04/2026", 'Lista Movimenti'!$D:$D, "&lt;=30/04/2026")</f>
        <v>0</v>
      </c>
      <c r="F43" s="33">
        <f>SUMIFS('Lista Movimenti'!$C:$C, 'Lista Movimenti'!$B:$B, $A43, 'Lista Movimenti'!$E:$E, "Risparmio", 'Lista Movimenti'!$D:$D, "&gt;=01/05/2026", 'Lista Movimenti'!$D:$D, "&lt;=31/05/2026")</f>
        <v>0</v>
      </c>
      <c r="G43" s="33">
        <f>SUMIFS('Lista Movimenti'!$C:$C, 'Lista Movimenti'!$B:$B, $A43, 'Lista Movimenti'!$E:$E, "Risparmio", 'Lista Movimenti'!$D:$D, "&gt;=01/06/2026", 'Lista Movimenti'!$D:$D, "&lt;=30/06/2026")</f>
        <v>0</v>
      </c>
      <c r="H43" s="33">
        <f>SUMIFS('Lista Movimenti'!$C:$C, 'Lista Movimenti'!$B:$B, $A43, 'Lista Movimenti'!$E:$E, "Risparmio", 'Lista Movimenti'!$D:$D, "&gt;=01/07/2026", 'Lista Movimenti'!$D:$D, "&lt;=31/07/2026")</f>
        <v>0</v>
      </c>
      <c r="I43" s="33">
        <f>SUMIFS('Lista Movimenti'!$C:$C, 'Lista Movimenti'!$B:$B, $A43, 'Lista Movimenti'!$E:$E, "Risparmio", 'Lista Movimenti'!$D:$D, "&gt;=01/08/2026", 'Lista Movimenti'!$D:$D, "&lt;=31/08/2026")</f>
        <v>0</v>
      </c>
      <c r="J43" s="33">
        <f>SUMIFS('Lista Movimenti'!$C:$C, 'Lista Movimenti'!$B:$B, $A43, 'Lista Movimenti'!$E:$E, "Risparmio", 'Lista Movimenti'!$D:$D, "&gt;=01/09/2026", 'Lista Movimenti'!$D:$D, "&lt;=30/09/2026")</f>
        <v>0</v>
      </c>
      <c r="K43" s="33">
        <f>SUMIFS('Lista Movimenti'!$C:$C, 'Lista Movimenti'!$B:$B, $A43, 'Lista Movimenti'!$E:$E, "Risparmio", 'Lista Movimenti'!$D:$D, "&gt;=01/10/2026", 'Lista Movimenti'!$D:$D, "&lt;=31/10/2026")</f>
        <v>0</v>
      </c>
      <c r="L43" s="33">
        <f>SUMIFS('Lista Movimenti'!$C:$C, 'Lista Movimenti'!$B:$B, $A43, 'Lista Movimenti'!$E:$E, "Risparmio", 'Lista Movimenti'!$D:$D, "&gt;=01/11/2026", 'Lista Movimenti'!$D:$D, "&lt;=30/11/2026")</f>
        <v>0</v>
      </c>
      <c r="M43" s="33">
        <f>SUMIFS('Lista Movimenti'!$C:$C, 'Lista Movimenti'!$B:$B, $A43, 'Lista Movimenti'!$E:$E, "Risparmio", 'Lista Movimenti'!$D:$D, "&gt;=01/12/2026", 'Lista Movimenti'!$D:$D, "&lt;=31/12/2026")</f>
        <v>0</v>
      </c>
      <c r="N43" s="33">
        <f t="shared" si="12"/>
        <v>0</v>
      </c>
      <c r="O43" s="33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</row>
    <row r="44" ht="22.5" customHeight="1">
      <c r="A44" s="28" t="s">
        <v>16</v>
      </c>
      <c r="B44" s="33">
        <f>SUMIFS('Lista Movimenti'!C:C, 'Lista Movimenti'!B:B, A44, 'Lista Movimenti'!E:E, "Risparmio", 'Lista Movimenti'!D:D, "&gt;=01/01/2026", 'Lista Movimenti'!D:D, "&lt;=31/01/2026")</f>
        <v>0</v>
      </c>
      <c r="C44" s="33">
        <f>SUMIFS('Lista Movimenti'!$C:$C, 'Lista Movimenti'!$B:$B, $A44, 'Lista Movimenti'!$E:$E, "Risparmio", 'Lista Movimenti'!$D:$D, "&gt;=01/02/2026", 'Lista Movimenti'!$D:$D, "&lt;=28/02/2026")</f>
        <v>0</v>
      </c>
      <c r="D44" s="33">
        <f>SUMIFS('Lista Movimenti'!$C:$C, 'Lista Movimenti'!$B:$B, $A44, 'Lista Movimenti'!$E:$E, "Risparmio", 'Lista Movimenti'!$D:$D, "&gt;=01/03/2026", 'Lista Movimenti'!$D:$D, "&lt;=31/03/2026")</f>
        <v>0</v>
      </c>
      <c r="E44" s="33">
        <f>SUMIFS('Lista Movimenti'!$C:$C, 'Lista Movimenti'!$B:$B, $A44, 'Lista Movimenti'!$E:$E, "Risparmio", 'Lista Movimenti'!$D:$D, "&gt;=01/04/2026", 'Lista Movimenti'!$D:$D, "&lt;=30/04/2026")</f>
        <v>0</v>
      </c>
      <c r="F44" s="33">
        <f>SUMIFS('Lista Movimenti'!$C:$C, 'Lista Movimenti'!$B:$B, $A44, 'Lista Movimenti'!$E:$E, "Risparmio", 'Lista Movimenti'!$D:$D, "&gt;=01/05/2026", 'Lista Movimenti'!$D:$D, "&lt;=31/05/2026")</f>
        <v>0</v>
      </c>
      <c r="G44" s="33">
        <f>SUMIFS('Lista Movimenti'!$C:$C, 'Lista Movimenti'!$B:$B, $A44, 'Lista Movimenti'!$E:$E, "Risparmio", 'Lista Movimenti'!$D:$D, "&gt;=01/06/2026", 'Lista Movimenti'!$D:$D, "&lt;=30/06/2026")</f>
        <v>0</v>
      </c>
      <c r="H44" s="33">
        <f>SUMIFS('Lista Movimenti'!$C:$C, 'Lista Movimenti'!$B:$B, $A44, 'Lista Movimenti'!$E:$E, "Risparmio", 'Lista Movimenti'!$D:$D, "&gt;=01/07/2026", 'Lista Movimenti'!$D:$D, "&lt;=31/07/2026")</f>
        <v>0</v>
      </c>
      <c r="I44" s="33">
        <f>SUMIFS('Lista Movimenti'!$C:$C, 'Lista Movimenti'!$B:$B, $A44, 'Lista Movimenti'!$E:$E, "Risparmio", 'Lista Movimenti'!$D:$D, "&gt;=01/08/2026", 'Lista Movimenti'!$D:$D, "&lt;=31/08/2026")</f>
        <v>0</v>
      </c>
      <c r="J44" s="33">
        <f>SUMIFS('Lista Movimenti'!$C:$C, 'Lista Movimenti'!$B:$B, $A44, 'Lista Movimenti'!$E:$E, "Risparmio", 'Lista Movimenti'!$D:$D, "&gt;=01/09/2026", 'Lista Movimenti'!$D:$D, "&lt;=30/09/2026")</f>
        <v>0</v>
      </c>
      <c r="K44" s="33">
        <f>SUMIFS('Lista Movimenti'!$C:$C, 'Lista Movimenti'!$B:$B, $A44, 'Lista Movimenti'!$E:$E, "Risparmio", 'Lista Movimenti'!$D:$D, "&gt;=01/10/2026", 'Lista Movimenti'!$D:$D, "&lt;=31/10/2026")</f>
        <v>0</v>
      </c>
      <c r="L44" s="33">
        <f>SUMIFS('Lista Movimenti'!$C:$C, 'Lista Movimenti'!$B:$B, $A44, 'Lista Movimenti'!$E:$E, "Risparmio", 'Lista Movimenti'!$D:$D, "&gt;=01/11/2026", 'Lista Movimenti'!$D:$D, "&lt;=30/11/2026")</f>
        <v>0</v>
      </c>
      <c r="M44" s="33">
        <f>SUMIFS('Lista Movimenti'!$C:$C, 'Lista Movimenti'!$B:$B, $A44, 'Lista Movimenti'!$E:$E, "Risparmio", 'Lista Movimenti'!$D:$D, "&gt;=01/12/2026", 'Lista Movimenti'!$D:$D, "&lt;=31/12/2026")</f>
        <v>0</v>
      </c>
      <c r="N44" s="33">
        <f t="shared" si="12"/>
        <v>0</v>
      </c>
      <c r="O44" s="33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</row>
    <row r="45" ht="22.5" customHeight="1">
      <c r="A45" s="28" t="s">
        <v>12</v>
      </c>
      <c r="B45" s="33">
        <f>SUMIFS('Lista Movimenti'!C:C, 'Lista Movimenti'!B:B, A45, 'Lista Movimenti'!E:E, "Risparmio", 'Lista Movimenti'!D:D, "&gt;=01/01/2026", 'Lista Movimenti'!D:D, "&lt;=31/01/2026")</f>
        <v>0</v>
      </c>
      <c r="C45" s="33">
        <f>SUMIFS('Lista Movimenti'!$C:$C, 'Lista Movimenti'!$B:$B, $A45, 'Lista Movimenti'!$E:$E, "Risparmio", 'Lista Movimenti'!$D:$D, "&gt;=01/02/2026", 'Lista Movimenti'!$D:$D, "&lt;=28/02/2026")</f>
        <v>0</v>
      </c>
      <c r="D45" s="33">
        <f>SUMIFS('Lista Movimenti'!$C:$C, 'Lista Movimenti'!$B:$B, $A45, 'Lista Movimenti'!$E:$E, "Risparmio", 'Lista Movimenti'!$D:$D, "&gt;=01/03/2026", 'Lista Movimenti'!$D:$D, "&lt;=31/03/2026")</f>
        <v>0</v>
      </c>
      <c r="E45" s="33">
        <f>SUMIFS('Lista Movimenti'!$C:$C, 'Lista Movimenti'!$B:$B, $A45, 'Lista Movimenti'!$E:$E, "Risparmio", 'Lista Movimenti'!$D:$D, "&gt;=01/04/2026", 'Lista Movimenti'!$D:$D, "&lt;=30/04/2026")</f>
        <v>0</v>
      </c>
      <c r="F45" s="33">
        <f>SUMIFS('Lista Movimenti'!$C:$C, 'Lista Movimenti'!$B:$B, $A45, 'Lista Movimenti'!$E:$E, "Risparmio", 'Lista Movimenti'!$D:$D, "&gt;=01/05/2026", 'Lista Movimenti'!$D:$D, "&lt;=31/05/2026")</f>
        <v>0</v>
      </c>
      <c r="G45" s="33">
        <f>SUMIFS('Lista Movimenti'!$C:$C, 'Lista Movimenti'!$B:$B, $A45, 'Lista Movimenti'!$E:$E, "Risparmio", 'Lista Movimenti'!$D:$D, "&gt;=01/06/2026", 'Lista Movimenti'!$D:$D, "&lt;=30/06/2026")</f>
        <v>0</v>
      </c>
      <c r="H45" s="33">
        <f>SUMIFS('Lista Movimenti'!$C:$C, 'Lista Movimenti'!$B:$B, $A45, 'Lista Movimenti'!$E:$E, "Risparmio", 'Lista Movimenti'!$D:$D, "&gt;=01/07/2026", 'Lista Movimenti'!$D:$D, "&lt;=31/07/2026")</f>
        <v>0</v>
      </c>
      <c r="I45" s="33">
        <f>SUMIFS('Lista Movimenti'!$C:$C, 'Lista Movimenti'!$B:$B, $A45, 'Lista Movimenti'!$E:$E, "Risparmio", 'Lista Movimenti'!$D:$D, "&gt;=01/08/2026", 'Lista Movimenti'!$D:$D, "&lt;=31/08/2026")</f>
        <v>0</v>
      </c>
      <c r="J45" s="33">
        <f>SUMIFS('Lista Movimenti'!$C:$C, 'Lista Movimenti'!$B:$B, $A45, 'Lista Movimenti'!$E:$E, "Risparmio", 'Lista Movimenti'!$D:$D, "&gt;=01/09/2026", 'Lista Movimenti'!$D:$D, "&lt;=30/09/2026")</f>
        <v>0</v>
      </c>
      <c r="K45" s="33">
        <f>SUMIFS('Lista Movimenti'!$C:$C, 'Lista Movimenti'!$B:$B, $A45, 'Lista Movimenti'!$E:$E, "Risparmio", 'Lista Movimenti'!$D:$D, "&gt;=01/10/2026", 'Lista Movimenti'!$D:$D, "&lt;=31/10/2026")</f>
        <v>0</v>
      </c>
      <c r="L45" s="33">
        <f>SUMIFS('Lista Movimenti'!$C:$C, 'Lista Movimenti'!$B:$B, $A45, 'Lista Movimenti'!$E:$E, "Risparmio", 'Lista Movimenti'!$D:$D, "&gt;=01/11/2026", 'Lista Movimenti'!$D:$D, "&lt;=30/11/2026")</f>
        <v>0</v>
      </c>
      <c r="M45" s="33">
        <f>SUMIFS('Lista Movimenti'!$C:$C, 'Lista Movimenti'!$B:$B, $A45, 'Lista Movimenti'!$E:$E, "Risparmio", 'Lista Movimenti'!$D:$D, "&gt;=01/12/2026", 'Lista Movimenti'!$D:$D, "&lt;=31/12/2026")</f>
        <v>0</v>
      </c>
      <c r="N45" s="33">
        <f t="shared" si="12"/>
        <v>0</v>
      </c>
      <c r="O45" s="33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</row>
    <row r="46" ht="22.5" customHeight="1">
      <c r="A46" s="28" t="s">
        <v>8</v>
      </c>
      <c r="B46" s="33">
        <f>SUMIFS('Lista Movimenti'!C:C, 'Lista Movimenti'!B:B, A46, 'Lista Movimenti'!E:E, "Risparmio", 'Lista Movimenti'!D:D, "&gt;=01/01/2026", 'Lista Movimenti'!D:D, "&lt;=31/01/2026")</f>
        <v>0</v>
      </c>
      <c r="C46" s="33">
        <f>SUMIFS('Lista Movimenti'!$C:$C, 'Lista Movimenti'!$B:$B, $A46, 'Lista Movimenti'!$E:$E, "Risparmio", 'Lista Movimenti'!$D:$D, "&gt;=01/02/2026", 'Lista Movimenti'!$D:$D, "&lt;=28/02/2026")</f>
        <v>0</v>
      </c>
      <c r="D46" s="33">
        <f>SUMIFS('Lista Movimenti'!$C:$C, 'Lista Movimenti'!$B:$B, $A46, 'Lista Movimenti'!$E:$E, "Risparmio", 'Lista Movimenti'!$D:$D, "&gt;=01/03/2026", 'Lista Movimenti'!$D:$D, "&lt;=31/03/2026")</f>
        <v>0</v>
      </c>
      <c r="E46" s="33">
        <f>SUMIFS('Lista Movimenti'!$C:$C, 'Lista Movimenti'!$B:$B, $A46, 'Lista Movimenti'!$E:$E, "Risparmio", 'Lista Movimenti'!$D:$D, "&gt;=01/04/2026", 'Lista Movimenti'!$D:$D, "&lt;=30/04/2026")</f>
        <v>0</v>
      </c>
      <c r="F46" s="33">
        <f>SUMIFS('Lista Movimenti'!$C:$C, 'Lista Movimenti'!$B:$B, $A46, 'Lista Movimenti'!$E:$E, "Risparmio", 'Lista Movimenti'!$D:$D, "&gt;=01/05/2026", 'Lista Movimenti'!$D:$D, "&lt;=31/05/2026")</f>
        <v>0</v>
      </c>
      <c r="G46" s="33">
        <f>SUMIFS('Lista Movimenti'!$C:$C, 'Lista Movimenti'!$B:$B, $A46, 'Lista Movimenti'!$E:$E, "Risparmio", 'Lista Movimenti'!$D:$D, "&gt;=01/06/2026", 'Lista Movimenti'!$D:$D, "&lt;=30/06/2026")</f>
        <v>0</v>
      </c>
      <c r="H46" s="33">
        <f>SUMIFS('Lista Movimenti'!$C:$C, 'Lista Movimenti'!$B:$B, $A46, 'Lista Movimenti'!$E:$E, "Risparmio", 'Lista Movimenti'!$D:$D, "&gt;=01/07/2026", 'Lista Movimenti'!$D:$D, "&lt;=31/07/2026")</f>
        <v>0</v>
      </c>
      <c r="I46" s="33">
        <f>SUMIFS('Lista Movimenti'!$C:$C, 'Lista Movimenti'!$B:$B, $A46, 'Lista Movimenti'!$E:$E, "Risparmio", 'Lista Movimenti'!$D:$D, "&gt;=01/08/2026", 'Lista Movimenti'!$D:$D, "&lt;=31/08/2026")</f>
        <v>0</v>
      </c>
      <c r="J46" s="33">
        <f>SUMIFS('Lista Movimenti'!$C:$C, 'Lista Movimenti'!$B:$B, $A46, 'Lista Movimenti'!$E:$E, "Risparmio", 'Lista Movimenti'!$D:$D, "&gt;=01/09/2026", 'Lista Movimenti'!$D:$D, "&lt;=30/09/2026")</f>
        <v>0</v>
      </c>
      <c r="K46" s="33">
        <f>SUMIFS('Lista Movimenti'!$C:$C, 'Lista Movimenti'!$B:$B, $A46, 'Lista Movimenti'!$E:$E, "Risparmio", 'Lista Movimenti'!$D:$D, "&gt;=01/10/2026", 'Lista Movimenti'!$D:$D, "&lt;=31/10/2026")</f>
        <v>0</v>
      </c>
      <c r="L46" s="33">
        <f>SUMIFS('Lista Movimenti'!$C:$C, 'Lista Movimenti'!$B:$B, $A46, 'Lista Movimenti'!$E:$E, "Risparmio", 'Lista Movimenti'!$D:$D, "&gt;=01/11/2026", 'Lista Movimenti'!$D:$D, "&lt;=30/11/2026")</f>
        <v>0</v>
      </c>
      <c r="M46" s="33">
        <f>SUMIFS('Lista Movimenti'!$C:$C, 'Lista Movimenti'!$B:$B, $A46, 'Lista Movimenti'!$E:$E, "Risparmio", 'Lista Movimenti'!$D:$D, "&gt;=01/12/2026", 'Lista Movimenti'!$D:$D, "&lt;=31/12/2026")</f>
        <v>0</v>
      </c>
      <c r="N46" s="33">
        <f t="shared" si="12"/>
        <v>0</v>
      </c>
      <c r="O46" s="33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</row>
    <row r="47" ht="22.5" customHeight="1">
      <c r="A47" s="28" t="s">
        <v>13</v>
      </c>
      <c r="B47" s="33">
        <f>SUMIFS('Lista Movimenti'!C:C, 'Lista Movimenti'!B:B, A47, 'Lista Movimenti'!E:E, "Risparmio", 'Lista Movimenti'!D:D, "&gt;=01/01/2026", 'Lista Movimenti'!D:D, "&lt;=31/01/2026")</f>
        <v>0</v>
      </c>
      <c r="C47" s="33">
        <f>SUMIFS('Lista Movimenti'!$C:$C, 'Lista Movimenti'!$B:$B, $A47, 'Lista Movimenti'!$E:$E, "Risparmio", 'Lista Movimenti'!$D:$D, "&gt;=01/02/2026", 'Lista Movimenti'!$D:$D, "&lt;=28/02/2026")</f>
        <v>0</v>
      </c>
      <c r="D47" s="33">
        <f>SUMIFS('Lista Movimenti'!$C:$C, 'Lista Movimenti'!$B:$B, $A47, 'Lista Movimenti'!$E:$E, "Risparmio", 'Lista Movimenti'!$D:$D, "&gt;=01/03/2026", 'Lista Movimenti'!$D:$D, "&lt;=31/03/2026")</f>
        <v>0</v>
      </c>
      <c r="E47" s="33">
        <f>SUMIFS('Lista Movimenti'!$C:$C, 'Lista Movimenti'!$B:$B, $A47, 'Lista Movimenti'!$E:$E, "Risparmio", 'Lista Movimenti'!$D:$D, "&gt;=01/04/2026", 'Lista Movimenti'!$D:$D, "&lt;=30/04/2026")</f>
        <v>0</v>
      </c>
      <c r="F47" s="33">
        <f>SUMIFS('Lista Movimenti'!$C:$C, 'Lista Movimenti'!$B:$B, $A47, 'Lista Movimenti'!$E:$E, "Risparmio", 'Lista Movimenti'!$D:$D, "&gt;=01/05/2026", 'Lista Movimenti'!$D:$D, "&lt;=31/05/2026")</f>
        <v>0</v>
      </c>
      <c r="G47" s="33">
        <f>SUMIFS('Lista Movimenti'!$C:$C, 'Lista Movimenti'!$B:$B, $A47, 'Lista Movimenti'!$E:$E, "Risparmio", 'Lista Movimenti'!$D:$D, "&gt;=01/06/2026", 'Lista Movimenti'!$D:$D, "&lt;=30/06/2026")</f>
        <v>0</v>
      </c>
      <c r="H47" s="33">
        <f>SUMIFS('Lista Movimenti'!$C:$C, 'Lista Movimenti'!$B:$B, $A47, 'Lista Movimenti'!$E:$E, "Risparmio", 'Lista Movimenti'!$D:$D, "&gt;=01/07/2026", 'Lista Movimenti'!$D:$D, "&lt;=31/07/2026")</f>
        <v>0</v>
      </c>
      <c r="I47" s="33">
        <f>SUMIFS('Lista Movimenti'!$C:$C, 'Lista Movimenti'!$B:$B, $A47, 'Lista Movimenti'!$E:$E, "Risparmio", 'Lista Movimenti'!$D:$D, "&gt;=01/08/2026", 'Lista Movimenti'!$D:$D, "&lt;=31/08/2026")</f>
        <v>0</v>
      </c>
      <c r="J47" s="33">
        <f>SUMIFS('Lista Movimenti'!$C:$C, 'Lista Movimenti'!$B:$B, $A47, 'Lista Movimenti'!$E:$E, "Risparmio", 'Lista Movimenti'!$D:$D, "&gt;=01/09/2026", 'Lista Movimenti'!$D:$D, "&lt;=30/09/2026")</f>
        <v>0</v>
      </c>
      <c r="K47" s="33">
        <f>SUMIFS('Lista Movimenti'!$C:$C, 'Lista Movimenti'!$B:$B, $A47, 'Lista Movimenti'!$E:$E, "Risparmio", 'Lista Movimenti'!$D:$D, "&gt;=01/10/2026", 'Lista Movimenti'!$D:$D, "&lt;=31/10/2026")</f>
        <v>0</v>
      </c>
      <c r="L47" s="33">
        <f>SUMIFS('Lista Movimenti'!$C:$C, 'Lista Movimenti'!$B:$B, $A47, 'Lista Movimenti'!$E:$E, "Risparmio", 'Lista Movimenti'!$D:$D, "&gt;=01/11/2026", 'Lista Movimenti'!$D:$D, "&lt;=30/11/2026")</f>
        <v>0</v>
      </c>
      <c r="M47" s="33">
        <f>SUMIFS('Lista Movimenti'!$C:$C, 'Lista Movimenti'!$B:$B, $A47, 'Lista Movimenti'!$E:$E, "Risparmio", 'Lista Movimenti'!$D:$D, "&gt;=01/12/2026", 'Lista Movimenti'!$D:$D, "&lt;=31/12/2026")</f>
        <v>0</v>
      </c>
      <c r="N47" s="33">
        <f t="shared" si="12"/>
        <v>0</v>
      </c>
      <c r="O47" s="33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</row>
    <row r="48" ht="22.5" customHeight="1">
      <c r="A48" s="28" t="s">
        <v>11</v>
      </c>
      <c r="B48" s="33">
        <f>SUMIFS('Lista Movimenti'!C:C, 'Lista Movimenti'!B:B, A48, 'Lista Movimenti'!E:E, "Risparmio", 'Lista Movimenti'!D:D, "&gt;=01/01/2026", 'Lista Movimenti'!D:D, "&lt;=31/01/2026")</f>
        <v>0</v>
      </c>
      <c r="C48" s="33">
        <f>SUMIFS('Lista Movimenti'!$C:$C, 'Lista Movimenti'!$B:$B, $A48, 'Lista Movimenti'!$E:$E, "Risparmio", 'Lista Movimenti'!$D:$D, "&gt;=01/02/2026", 'Lista Movimenti'!$D:$D, "&lt;=28/02/2026")</f>
        <v>0</v>
      </c>
      <c r="D48" s="33">
        <f>SUMIFS('Lista Movimenti'!$C:$C, 'Lista Movimenti'!$B:$B, $A48, 'Lista Movimenti'!$E:$E, "Risparmio", 'Lista Movimenti'!$D:$D, "&gt;=01/03/2026", 'Lista Movimenti'!$D:$D, "&lt;=31/03/2026")</f>
        <v>0</v>
      </c>
      <c r="E48" s="33">
        <f>SUMIFS('Lista Movimenti'!$C:$C, 'Lista Movimenti'!$B:$B, $A48, 'Lista Movimenti'!$E:$E, "Risparmio", 'Lista Movimenti'!$D:$D, "&gt;=01/04/2026", 'Lista Movimenti'!$D:$D, "&lt;=30/04/2026")</f>
        <v>0</v>
      </c>
      <c r="F48" s="33">
        <f>SUMIFS('Lista Movimenti'!$C:$C, 'Lista Movimenti'!$B:$B, $A48, 'Lista Movimenti'!$E:$E, "Risparmio", 'Lista Movimenti'!$D:$D, "&gt;=01/05/2026", 'Lista Movimenti'!$D:$D, "&lt;=31/05/2026")</f>
        <v>0</v>
      </c>
      <c r="G48" s="33">
        <f>SUMIFS('Lista Movimenti'!$C:$C, 'Lista Movimenti'!$B:$B, $A48, 'Lista Movimenti'!$E:$E, "Risparmio", 'Lista Movimenti'!$D:$D, "&gt;=01/06/2026", 'Lista Movimenti'!$D:$D, "&lt;=30/06/2026")</f>
        <v>0</v>
      </c>
      <c r="H48" s="33">
        <f>SUMIFS('Lista Movimenti'!$C:$C, 'Lista Movimenti'!$B:$B, $A48, 'Lista Movimenti'!$E:$E, "Risparmio", 'Lista Movimenti'!$D:$D, "&gt;=01/07/2026", 'Lista Movimenti'!$D:$D, "&lt;=31/07/2026")</f>
        <v>100</v>
      </c>
      <c r="I48" s="33">
        <f>SUMIFS('Lista Movimenti'!$C:$C, 'Lista Movimenti'!$B:$B, $A48, 'Lista Movimenti'!$E:$E, "Risparmio", 'Lista Movimenti'!$D:$D, "&gt;=01/08/2026", 'Lista Movimenti'!$D:$D, "&lt;=31/08/2026")</f>
        <v>0</v>
      </c>
      <c r="J48" s="33">
        <f>SUMIFS('Lista Movimenti'!$C:$C, 'Lista Movimenti'!$B:$B, $A48, 'Lista Movimenti'!$E:$E, "Risparmio", 'Lista Movimenti'!$D:$D, "&gt;=01/09/2026", 'Lista Movimenti'!$D:$D, "&lt;=30/09/2026")</f>
        <v>0</v>
      </c>
      <c r="K48" s="33">
        <f>SUMIFS('Lista Movimenti'!$C:$C, 'Lista Movimenti'!$B:$B, $A48, 'Lista Movimenti'!$E:$E, "Risparmio", 'Lista Movimenti'!$D:$D, "&gt;=01/10/2026", 'Lista Movimenti'!$D:$D, "&lt;=31/10/2026")</f>
        <v>175</v>
      </c>
      <c r="L48" s="33">
        <f>SUMIFS('Lista Movimenti'!$C:$C, 'Lista Movimenti'!$B:$B, $A48, 'Lista Movimenti'!$E:$E, "Risparmio", 'Lista Movimenti'!$D:$D, "&gt;=01/11/2026", 'Lista Movimenti'!$D:$D, "&lt;=30/11/2026")</f>
        <v>0</v>
      </c>
      <c r="M48" s="33">
        <f>SUMIFS('Lista Movimenti'!$C:$C, 'Lista Movimenti'!$B:$B, $A48, 'Lista Movimenti'!$E:$E, "Risparmio", 'Lista Movimenti'!$D:$D, "&gt;=01/12/2026", 'Lista Movimenti'!$D:$D, "&lt;=31/12/2026")</f>
        <v>0</v>
      </c>
      <c r="N48" s="33">
        <f t="shared" si="12"/>
        <v>22.91666667</v>
      </c>
      <c r="O48" s="33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</row>
    <row r="49" ht="22.5" customHeight="1">
      <c r="A49" s="28" t="s">
        <v>5</v>
      </c>
      <c r="B49" s="33">
        <f>SUMIFS('Lista Movimenti'!C:C, 'Lista Movimenti'!B:B, A49, 'Lista Movimenti'!E:E, "Risparmio", 'Lista Movimenti'!D:D, "&gt;=01/01/2026", 'Lista Movimenti'!D:D, "&lt;=31/01/2026")</f>
        <v>500</v>
      </c>
      <c r="C49" s="33">
        <f>SUMIFS('Lista Movimenti'!$C:$C, 'Lista Movimenti'!$B:$B, $A49, 'Lista Movimenti'!$E:$E, "Risparmio", 'Lista Movimenti'!$D:$D, "&gt;=01/02/2026", 'Lista Movimenti'!$D:$D, "&lt;=28/02/2026")</f>
        <v>200</v>
      </c>
      <c r="D49" s="33">
        <f>SUMIFS('Lista Movimenti'!$C:$C, 'Lista Movimenti'!$B:$B, $A49, 'Lista Movimenti'!$E:$E, "Risparmio", 'Lista Movimenti'!$D:$D, "&gt;=01/03/2026", 'Lista Movimenti'!$D:$D, "&lt;=31/03/2026")</f>
        <v>0</v>
      </c>
      <c r="E49" s="33">
        <f>SUMIFS('Lista Movimenti'!$C:$C, 'Lista Movimenti'!$B:$B, $A49, 'Lista Movimenti'!$E:$E, "Risparmio", 'Lista Movimenti'!$D:$D, "&gt;=01/04/2026", 'Lista Movimenti'!$D:$D, "&lt;=30/04/2026")</f>
        <v>0</v>
      </c>
      <c r="F49" s="33">
        <f>SUMIFS('Lista Movimenti'!$C:$C, 'Lista Movimenti'!$B:$B, $A49, 'Lista Movimenti'!$E:$E, "Risparmio", 'Lista Movimenti'!$D:$D, "&gt;=01/05/2026", 'Lista Movimenti'!$D:$D, "&lt;=31/05/2026")</f>
        <v>0</v>
      </c>
      <c r="G49" s="33">
        <f>SUMIFS('Lista Movimenti'!$C:$C, 'Lista Movimenti'!$B:$B, $A49, 'Lista Movimenti'!$E:$E, "Risparmio", 'Lista Movimenti'!$D:$D, "&gt;=01/06/2026", 'Lista Movimenti'!$D:$D, "&lt;=30/06/2026")</f>
        <v>0</v>
      </c>
      <c r="H49" s="33">
        <f>SUMIFS('Lista Movimenti'!$C:$C, 'Lista Movimenti'!$B:$B, $A49, 'Lista Movimenti'!$E:$E, "Risparmio", 'Lista Movimenti'!$D:$D, "&gt;=01/07/2026", 'Lista Movimenti'!$D:$D, "&lt;=31/07/2026")</f>
        <v>0</v>
      </c>
      <c r="I49" s="33">
        <f>SUMIFS('Lista Movimenti'!$C:$C, 'Lista Movimenti'!$B:$B, $A49, 'Lista Movimenti'!$E:$E, "Risparmio", 'Lista Movimenti'!$D:$D, "&gt;=01/08/2026", 'Lista Movimenti'!$D:$D, "&lt;=31/08/2026")</f>
        <v>0</v>
      </c>
      <c r="J49" s="33">
        <f>SUMIFS('Lista Movimenti'!$C:$C, 'Lista Movimenti'!$B:$B, $A49, 'Lista Movimenti'!$E:$E, "Risparmio", 'Lista Movimenti'!$D:$D, "&gt;=01/09/2026", 'Lista Movimenti'!$D:$D, "&lt;=30/09/2026")</f>
        <v>0</v>
      </c>
      <c r="K49" s="33">
        <f>SUMIFS('Lista Movimenti'!$C:$C, 'Lista Movimenti'!$B:$B, $A49, 'Lista Movimenti'!$E:$E, "Risparmio", 'Lista Movimenti'!$D:$D, "&gt;=01/10/2026", 'Lista Movimenti'!$D:$D, "&lt;=31/10/2026")</f>
        <v>0</v>
      </c>
      <c r="L49" s="33">
        <f>SUMIFS('Lista Movimenti'!$C:$C, 'Lista Movimenti'!$B:$B, $A49, 'Lista Movimenti'!$E:$E, "Risparmio", 'Lista Movimenti'!$D:$D, "&gt;=01/11/2026", 'Lista Movimenti'!$D:$D, "&lt;=30/11/2026")</f>
        <v>0</v>
      </c>
      <c r="M49" s="33">
        <f>SUMIFS('Lista Movimenti'!$C:$C, 'Lista Movimenti'!$B:$B, $A49, 'Lista Movimenti'!$E:$E, "Risparmio", 'Lista Movimenti'!$D:$D, "&gt;=01/12/2026", 'Lista Movimenti'!$D:$D, "&lt;=31/12/2026")</f>
        <v>0</v>
      </c>
      <c r="N49" s="33">
        <f t="shared" si="12"/>
        <v>58.33333333</v>
      </c>
      <c r="O49" s="33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</row>
    <row r="50" ht="22.5" customHeight="1">
      <c r="A50" s="28" t="s">
        <v>18</v>
      </c>
      <c r="B50" s="33">
        <f>SUMIFS('Lista Movimenti'!C:C, 'Lista Movimenti'!B:B, A50, 'Lista Movimenti'!E:E, "Risparmio", 'Lista Movimenti'!D:D, "&gt;=01/01/2026", 'Lista Movimenti'!D:D, "&lt;=31/01/2026")</f>
        <v>0</v>
      </c>
      <c r="C50" s="33">
        <f>SUMIFS('Lista Movimenti'!$C:$C, 'Lista Movimenti'!$B:$B, $A50, 'Lista Movimenti'!$E:$E, "Risparmio", 'Lista Movimenti'!$D:$D, "&gt;=01/02/2026", 'Lista Movimenti'!$D:$D, "&lt;=28/02/2026")</f>
        <v>0</v>
      </c>
      <c r="D50" s="33">
        <f>SUMIFS('Lista Movimenti'!$C:$C, 'Lista Movimenti'!$B:$B, $A50, 'Lista Movimenti'!$E:$E, "Risparmio", 'Lista Movimenti'!$D:$D, "&gt;=01/03/2026", 'Lista Movimenti'!$D:$D, "&lt;=31/03/2026")</f>
        <v>0</v>
      </c>
      <c r="E50" s="33">
        <f>SUMIFS('Lista Movimenti'!$C:$C, 'Lista Movimenti'!$B:$B, $A50, 'Lista Movimenti'!$E:$E, "Risparmio", 'Lista Movimenti'!$D:$D, "&gt;=01/04/2026", 'Lista Movimenti'!$D:$D, "&lt;=30/04/2026")</f>
        <v>0</v>
      </c>
      <c r="F50" s="33">
        <f>SUMIFS('Lista Movimenti'!$C:$C, 'Lista Movimenti'!$B:$B, $A50, 'Lista Movimenti'!$E:$E, "Risparmio", 'Lista Movimenti'!$D:$D, "&gt;=01/05/2026", 'Lista Movimenti'!$D:$D, "&lt;=31/05/2026")</f>
        <v>0</v>
      </c>
      <c r="G50" s="33">
        <f>SUMIFS('Lista Movimenti'!$C:$C, 'Lista Movimenti'!$B:$B, $A50, 'Lista Movimenti'!$E:$E, "Risparmio", 'Lista Movimenti'!$D:$D, "&gt;=01/06/2026", 'Lista Movimenti'!$D:$D, "&lt;=30/06/2026")</f>
        <v>0</v>
      </c>
      <c r="H50" s="33">
        <f>SUMIFS('Lista Movimenti'!$C:$C, 'Lista Movimenti'!$B:$B, $A50, 'Lista Movimenti'!$E:$E, "Risparmio", 'Lista Movimenti'!$D:$D, "&gt;=01/07/2026", 'Lista Movimenti'!$D:$D, "&lt;=31/07/2026")</f>
        <v>0</v>
      </c>
      <c r="I50" s="33">
        <f>SUMIFS('Lista Movimenti'!$C:$C, 'Lista Movimenti'!$B:$B, $A50, 'Lista Movimenti'!$E:$E, "Risparmio", 'Lista Movimenti'!$D:$D, "&gt;=01/08/2026", 'Lista Movimenti'!$D:$D, "&lt;=31/08/2026")</f>
        <v>0</v>
      </c>
      <c r="J50" s="33">
        <f>SUMIFS('Lista Movimenti'!$C:$C, 'Lista Movimenti'!$B:$B, $A50, 'Lista Movimenti'!$E:$E, "Risparmio", 'Lista Movimenti'!$D:$D, "&gt;=01/09/2026", 'Lista Movimenti'!$D:$D, "&lt;=30/09/2026")</f>
        <v>0</v>
      </c>
      <c r="K50" s="33">
        <f>SUMIFS('Lista Movimenti'!$C:$C, 'Lista Movimenti'!$B:$B, $A50, 'Lista Movimenti'!$E:$E, "Risparmio", 'Lista Movimenti'!$D:$D, "&gt;=01/10/2026", 'Lista Movimenti'!$D:$D, "&lt;=31/10/2026")</f>
        <v>0</v>
      </c>
      <c r="L50" s="33">
        <f>SUMIFS('Lista Movimenti'!$C:$C, 'Lista Movimenti'!$B:$B, $A50, 'Lista Movimenti'!$E:$E, "Risparmio", 'Lista Movimenti'!$D:$D, "&gt;=01/11/2026", 'Lista Movimenti'!$D:$D, "&lt;=30/11/2026")</f>
        <v>0</v>
      </c>
      <c r="M50" s="33">
        <f>SUMIFS('Lista Movimenti'!$C:$C, 'Lista Movimenti'!$B:$B, $A50, 'Lista Movimenti'!$E:$E, "Risparmio", 'Lista Movimenti'!$D:$D, "&gt;=01/12/2026", 'Lista Movimenti'!$D:$D, "&lt;=31/12/2026")</f>
        <v>0</v>
      </c>
      <c r="N50" s="33">
        <f t="shared" si="12"/>
        <v>0</v>
      </c>
      <c r="O50" s="33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</row>
    <row r="51" ht="22.5" customHeight="1">
      <c r="A51" s="28" t="s">
        <v>17</v>
      </c>
      <c r="B51" s="33">
        <f>SUMIFS('Lista Movimenti'!C:C, 'Lista Movimenti'!B:B, A51, 'Lista Movimenti'!E:E, "Risparmio", 'Lista Movimenti'!D:D, "&gt;=01/01/2026", 'Lista Movimenti'!D:D, "&lt;=31/01/2026")</f>
        <v>0</v>
      </c>
      <c r="C51" s="33">
        <f>SUMIFS('Lista Movimenti'!$C:$C, 'Lista Movimenti'!$B:$B, $A51, 'Lista Movimenti'!$E:$E, "Risparmio", 'Lista Movimenti'!$D:$D, "&gt;=01/02/2026", 'Lista Movimenti'!$D:$D, "&lt;=28/02/2026")</f>
        <v>0</v>
      </c>
      <c r="D51" s="33">
        <f>SUMIFS('Lista Movimenti'!$C:$C, 'Lista Movimenti'!$B:$B, $A51, 'Lista Movimenti'!$E:$E, "Risparmio", 'Lista Movimenti'!$D:$D, "&gt;=01/03/2026", 'Lista Movimenti'!$D:$D, "&lt;=31/03/2026")</f>
        <v>0</v>
      </c>
      <c r="E51" s="33">
        <f>SUMIFS('Lista Movimenti'!$C:$C, 'Lista Movimenti'!$B:$B, $A51, 'Lista Movimenti'!$E:$E, "Risparmio", 'Lista Movimenti'!$D:$D, "&gt;=01/04/2026", 'Lista Movimenti'!$D:$D, "&lt;=30/04/2026")</f>
        <v>0</v>
      </c>
      <c r="F51" s="33">
        <f>SUMIFS('Lista Movimenti'!$C:$C, 'Lista Movimenti'!$B:$B, $A51, 'Lista Movimenti'!$E:$E, "Risparmio", 'Lista Movimenti'!$D:$D, "&gt;=01/05/2026", 'Lista Movimenti'!$D:$D, "&lt;=31/05/2026")</f>
        <v>0</v>
      </c>
      <c r="G51" s="33">
        <f>SUMIFS('Lista Movimenti'!$C:$C, 'Lista Movimenti'!$B:$B, $A51, 'Lista Movimenti'!$E:$E, "Risparmio", 'Lista Movimenti'!$D:$D, "&gt;=01/06/2026", 'Lista Movimenti'!$D:$D, "&lt;=30/06/2026")</f>
        <v>0</v>
      </c>
      <c r="H51" s="33">
        <f>SUMIFS('Lista Movimenti'!$C:$C, 'Lista Movimenti'!$B:$B, $A51, 'Lista Movimenti'!$E:$E, "Risparmio", 'Lista Movimenti'!$D:$D, "&gt;=01/07/2026", 'Lista Movimenti'!$D:$D, "&lt;=31/07/2026")</f>
        <v>0</v>
      </c>
      <c r="I51" s="33">
        <f>SUMIFS('Lista Movimenti'!$C:$C, 'Lista Movimenti'!$B:$B, $A51, 'Lista Movimenti'!$E:$E, "Risparmio", 'Lista Movimenti'!$D:$D, "&gt;=01/08/2026", 'Lista Movimenti'!$D:$D, "&lt;=31/08/2026")</f>
        <v>0</v>
      </c>
      <c r="J51" s="33">
        <f>SUMIFS('Lista Movimenti'!$C:$C, 'Lista Movimenti'!$B:$B, $A51, 'Lista Movimenti'!$E:$E, "Risparmio", 'Lista Movimenti'!$D:$D, "&gt;=01/09/2026", 'Lista Movimenti'!$D:$D, "&lt;=30/09/2026")</f>
        <v>0</v>
      </c>
      <c r="K51" s="33">
        <f>SUMIFS('Lista Movimenti'!$C:$C, 'Lista Movimenti'!$B:$B, $A51, 'Lista Movimenti'!$E:$E, "Risparmio", 'Lista Movimenti'!$D:$D, "&gt;=01/10/2026", 'Lista Movimenti'!$D:$D, "&lt;=31/10/2026")</f>
        <v>0</v>
      </c>
      <c r="L51" s="33">
        <f>SUMIFS('Lista Movimenti'!$C:$C, 'Lista Movimenti'!$B:$B, $A51, 'Lista Movimenti'!$E:$E, "Risparmio", 'Lista Movimenti'!$D:$D, "&gt;=01/11/2026", 'Lista Movimenti'!$D:$D, "&lt;=30/11/2026")</f>
        <v>0</v>
      </c>
      <c r="M51" s="33">
        <f>SUMIFS('Lista Movimenti'!$C:$C, 'Lista Movimenti'!$B:$B, $A51, 'Lista Movimenti'!$E:$E, "Risparmio", 'Lista Movimenti'!$D:$D, "&gt;=01/12/2026", 'Lista Movimenti'!$D:$D, "&lt;=31/12/2026")</f>
        <v>0</v>
      </c>
      <c r="N51" s="33">
        <f t="shared" si="12"/>
        <v>0</v>
      </c>
      <c r="O51" s="33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</row>
    <row r="52" ht="22.5" customHeight="1">
      <c r="A52" s="28" t="s">
        <v>7</v>
      </c>
      <c r="B52" s="33">
        <f>SUMIFS('Lista Movimenti'!C:C, 'Lista Movimenti'!B:B, A52, 'Lista Movimenti'!E:E, "Risparmio", 'Lista Movimenti'!D:D, "&gt;=01/01/2026", 'Lista Movimenti'!D:D, "&lt;=31/01/2026")</f>
        <v>50</v>
      </c>
      <c r="C52" s="33">
        <f>SUMIFS('Lista Movimenti'!$C:$C, 'Lista Movimenti'!$B:$B, $A52, 'Lista Movimenti'!$E:$E, "Risparmio", 'Lista Movimenti'!$D:$D, "&gt;=01/02/2026", 'Lista Movimenti'!$D:$D, "&lt;=28/02/2026")</f>
        <v>0</v>
      </c>
      <c r="D52" s="33">
        <f>SUMIFS('Lista Movimenti'!$C:$C, 'Lista Movimenti'!$B:$B, $A52, 'Lista Movimenti'!$E:$E, "Risparmio", 'Lista Movimenti'!$D:$D, "&gt;=01/03/2026", 'Lista Movimenti'!$D:$D, "&lt;=31/03/2026")</f>
        <v>0</v>
      </c>
      <c r="E52" s="33">
        <f>SUMIFS('Lista Movimenti'!$C:$C, 'Lista Movimenti'!$B:$B, $A52, 'Lista Movimenti'!$E:$E, "Risparmio", 'Lista Movimenti'!$D:$D, "&gt;=01/04/2026", 'Lista Movimenti'!$D:$D, "&lt;=30/04/2026")</f>
        <v>0</v>
      </c>
      <c r="F52" s="33">
        <f>SUMIFS('Lista Movimenti'!$C:$C, 'Lista Movimenti'!$B:$B, $A52, 'Lista Movimenti'!$E:$E, "Risparmio", 'Lista Movimenti'!$D:$D, "&gt;=01/05/2026", 'Lista Movimenti'!$D:$D, "&lt;=31/05/2026")</f>
        <v>0</v>
      </c>
      <c r="G52" s="33">
        <f>SUMIFS('Lista Movimenti'!$C:$C, 'Lista Movimenti'!$B:$B, $A52, 'Lista Movimenti'!$E:$E, "Risparmio", 'Lista Movimenti'!$D:$D, "&gt;=01/06/2026", 'Lista Movimenti'!$D:$D, "&lt;=30/06/2026")</f>
        <v>0</v>
      </c>
      <c r="H52" s="33">
        <f>SUMIFS('Lista Movimenti'!$C:$C, 'Lista Movimenti'!$B:$B, $A52, 'Lista Movimenti'!$E:$E, "Risparmio", 'Lista Movimenti'!$D:$D, "&gt;=01/07/2026", 'Lista Movimenti'!$D:$D, "&lt;=31/07/2026")</f>
        <v>0</v>
      </c>
      <c r="I52" s="33">
        <f>SUMIFS('Lista Movimenti'!$C:$C, 'Lista Movimenti'!$B:$B, $A52, 'Lista Movimenti'!$E:$E, "Risparmio", 'Lista Movimenti'!$D:$D, "&gt;=01/08/2026", 'Lista Movimenti'!$D:$D, "&lt;=31/08/2026")</f>
        <v>0</v>
      </c>
      <c r="J52" s="33">
        <f>SUMIFS('Lista Movimenti'!$C:$C, 'Lista Movimenti'!$B:$B, $A52, 'Lista Movimenti'!$E:$E, "Risparmio", 'Lista Movimenti'!$D:$D, "&gt;=01/09/2026", 'Lista Movimenti'!$D:$D, "&lt;=30/09/2026")</f>
        <v>0</v>
      </c>
      <c r="K52" s="33">
        <f>SUMIFS('Lista Movimenti'!$C:$C, 'Lista Movimenti'!$B:$B, $A52, 'Lista Movimenti'!$E:$E, "Risparmio", 'Lista Movimenti'!$D:$D, "&gt;=01/10/2026", 'Lista Movimenti'!$D:$D, "&lt;=31/10/2026")</f>
        <v>0</v>
      </c>
      <c r="L52" s="33">
        <f>SUMIFS('Lista Movimenti'!$C:$C, 'Lista Movimenti'!$B:$B, $A52, 'Lista Movimenti'!$E:$E, "Risparmio", 'Lista Movimenti'!$D:$D, "&gt;=01/11/2026", 'Lista Movimenti'!$D:$D, "&lt;=30/11/2026")</f>
        <v>0</v>
      </c>
      <c r="M52" s="33">
        <f>SUMIFS('Lista Movimenti'!$C:$C, 'Lista Movimenti'!$B:$B, $A52, 'Lista Movimenti'!$E:$E, "Risparmio", 'Lista Movimenti'!$D:$D, "&gt;=01/12/2026", 'Lista Movimenti'!$D:$D, "&lt;=31/12/2026")</f>
        <v>0</v>
      </c>
      <c r="N52" s="33">
        <f t="shared" si="12"/>
        <v>4.166666667</v>
      </c>
      <c r="O52" s="33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</row>
    <row r="53" ht="22.5" customHeight="1">
      <c r="A53" s="28" t="s">
        <v>20</v>
      </c>
      <c r="B53" s="33">
        <f>SUMIFS('Lista Movimenti'!C:C, 'Lista Movimenti'!B:B, A53, 'Lista Movimenti'!E:E, "Risparmio", 'Lista Movimenti'!D:D, "&gt;=01/01/2026", 'Lista Movimenti'!D:D, "&lt;=31/01/2026")</f>
        <v>0</v>
      </c>
      <c r="C53" s="33">
        <f>SUMIFS('Lista Movimenti'!$C:$C, 'Lista Movimenti'!$B:$B, $A53, 'Lista Movimenti'!$E:$E, "Risparmio", 'Lista Movimenti'!$D:$D, "&gt;=01/02/2026", 'Lista Movimenti'!$D:$D, "&lt;=28/02/2026")</f>
        <v>0</v>
      </c>
      <c r="D53" s="33">
        <f>SUMIFS('Lista Movimenti'!$C:$C, 'Lista Movimenti'!$B:$B, $A53, 'Lista Movimenti'!$E:$E, "Risparmio", 'Lista Movimenti'!$D:$D, "&gt;=01/03/2026", 'Lista Movimenti'!$D:$D, "&lt;=31/03/2026")</f>
        <v>0</v>
      </c>
      <c r="E53" s="33">
        <f>SUMIFS('Lista Movimenti'!$C:$C, 'Lista Movimenti'!$B:$B, $A53, 'Lista Movimenti'!$E:$E, "Risparmio", 'Lista Movimenti'!$D:$D, "&gt;=01/04/2026", 'Lista Movimenti'!$D:$D, "&lt;=30/04/2026")</f>
        <v>0</v>
      </c>
      <c r="F53" s="33">
        <f>SUMIFS('Lista Movimenti'!$C:$C, 'Lista Movimenti'!$B:$B, $A53, 'Lista Movimenti'!$E:$E, "Risparmio", 'Lista Movimenti'!$D:$D, "&gt;=01/05/2026", 'Lista Movimenti'!$D:$D, "&lt;=31/05/2026")</f>
        <v>0</v>
      </c>
      <c r="G53" s="33">
        <f>SUMIFS('Lista Movimenti'!$C:$C, 'Lista Movimenti'!$B:$B, $A53, 'Lista Movimenti'!$E:$E, "Risparmio", 'Lista Movimenti'!$D:$D, "&gt;=01/06/2026", 'Lista Movimenti'!$D:$D, "&lt;=30/06/2026")</f>
        <v>0</v>
      </c>
      <c r="H53" s="33">
        <f>SUMIFS('Lista Movimenti'!$C:$C, 'Lista Movimenti'!$B:$B, $A53, 'Lista Movimenti'!$E:$E, "Risparmio", 'Lista Movimenti'!$D:$D, "&gt;=01/07/2026", 'Lista Movimenti'!$D:$D, "&lt;=31/07/2026")</f>
        <v>0</v>
      </c>
      <c r="I53" s="33">
        <f>SUMIFS('Lista Movimenti'!$C:$C, 'Lista Movimenti'!$B:$B, $A53, 'Lista Movimenti'!$E:$E, "Risparmio", 'Lista Movimenti'!$D:$D, "&gt;=01/08/2026", 'Lista Movimenti'!$D:$D, "&lt;=31/08/2026")</f>
        <v>0</v>
      </c>
      <c r="J53" s="33">
        <f>SUMIFS('Lista Movimenti'!$C:$C, 'Lista Movimenti'!$B:$B, $A53, 'Lista Movimenti'!$E:$E, "Risparmio", 'Lista Movimenti'!$D:$D, "&gt;=01/09/2026", 'Lista Movimenti'!$D:$D, "&lt;=30/09/2026")</f>
        <v>0</v>
      </c>
      <c r="K53" s="33">
        <f>SUMIFS('Lista Movimenti'!$C:$C, 'Lista Movimenti'!$B:$B, $A53, 'Lista Movimenti'!$E:$E, "Risparmio", 'Lista Movimenti'!$D:$D, "&gt;=01/10/2026", 'Lista Movimenti'!$D:$D, "&lt;=31/10/2026")</f>
        <v>0</v>
      </c>
      <c r="L53" s="33">
        <f>SUMIFS('Lista Movimenti'!$C:$C, 'Lista Movimenti'!$B:$B, $A53, 'Lista Movimenti'!$E:$E, "Risparmio", 'Lista Movimenti'!$D:$D, "&gt;=01/11/2026", 'Lista Movimenti'!$D:$D, "&lt;=30/11/2026")</f>
        <v>0</v>
      </c>
      <c r="M53" s="33">
        <f>SUMIFS('Lista Movimenti'!$C:$C, 'Lista Movimenti'!$B:$B, $A53, 'Lista Movimenti'!$E:$E, "Risparmio", 'Lista Movimenti'!$D:$D, "&gt;=01/12/2026", 'Lista Movimenti'!$D:$D, "&lt;=31/12/2026")</f>
        <v>0</v>
      </c>
      <c r="N53" s="33">
        <f t="shared" si="12"/>
        <v>0</v>
      </c>
      <c r="O53" s="33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</row>
    <row r="54" ht="22.5" customHeight="1">
      <c r="A54" s="28" t="s">
        <v>21</v>
      </c>
      <c r="B54" s="33">
        <f>SUMIFS('Lista Movimenti'!C:C, 'Lista Movimenti'!B:B, A54, 'Lista Movimenti'!E:E, "Risparmio", 'Lista Movimenti'!D:D, "&gt;=01/01/2026", 'Lista Movimenti'!D:D, "&lt;=31/01/2026")</f>
        <v>0</v>
      </c>
      <c r="C54" s="33">
        <f>SUMIFS('Lista Movimenti'!$C:$C, 'Lista Movimenti'!$B:$B, $A54, 'Lista Movimenti'!$E:$E, "Risparmio", 'Lista Movimenti'!$D:$D, "&gt;=01/02/2026", 'Lista Movimenti'!$D:$D, "&lt;=28/02/2026")</f>
        <v>0</v>
      </c>
      <c r="D54" s="33">
        <f>SUMIFS('Lista Movimenti'!$C:$C, 'Lista Movimenti'!$B:$B, $A54, 'Lista Movimenti'!$E:$E, "Risparmio", 'Lista Movimenti'!$D:$D, "&gt;=01/03/2026", 'Lista Movimenti'!$D:$D, "&lt;=31/03/2026")</f>
        <v>0</v>
      </c>
      <c r="E54" s="33">
        <f>SUMIFS('Lista Movimenti'!$C:$C, 'Lista Movimenti'!$B:$B, $A54, 'Lista Movimenti'!$E:$E, "Risparmio", 'Lista Movimenti'!$D:$D, "&gt;=01/04/2026", 'Lista Movimenti'!$D:$D, "&lt;=30/04/2026")</f>
        <v>0</v>
      </c>
      <c r="F54" s="33">
        <f>SUMIFS('Lista Movimenti'!$C:$C, 'Lista Movimenti'!$B:$B, $A54, 'Lista Movimenti'!$E:$E, "Risparmio", 'Lista Movimenti'!$D:$D, "&gt;=01/05/2026", 'Lista Movimenti'!$D:$D, "&lt;=31/05/2026")</f>
        <v>0</v>
      </c>
      <c r="G54" s="33">
        <f>SUMIFS('Lista Movimenti'!$C:$C, 'Lista Movimenti'!$B:$B, $A54, 'Lista Movimenti'!$E:$E, "Risparmio", 'Lista Movimenti'!$D:$D, "&gt;=01/06/2026", 'Lista Movimenti'!$D:$D, "&lt;=30/06/2026")</f>
        <v>0</v>
      </c>
      <c r="H54" s="33">
        <f>SUMIFS('Lista Movimenti'!$C:$C, 'Lista Movimenti'!$B:$B, $A54, 'Lista Movimenti'!$E:$E, "Risparmio", 'Lista Movimenti'!$D:$D, "&gt;=01/07/2026", 'Lista Movimenti'!$D:$D, "&lt;=31/07/2026")</f>
        <v>0</v>
      </c>
      <c r="I54" s="33">
        <f>SUMIFS('Lista Movimenti'!$C:$C, 'Lista Movimenti'!$B:$B, $A54, 'Lista Movimenti'!$E:$E, "Risparmio", 'Lista Movimenti'!$D:$D, "&gt;=01/08/2026", 'Lista Movimenti'!$D:$D, "&lt;=31/08/2026")</f>
        <v>0</v>
      </c>
      <c r="J54" s="33">
        <f>SUMIFS('Lista Movimenti'!$C:$C, 'Lista Movimenti'!$B:$B, $A54, 'Lista Movimenti'!$E:$E, "Risparmio", 'Lista Movimenti'!$D:$D, "&gt;=01/09/2026", 'Lista Movimenti'!$D:$D, "&lt;=30/09/2026")</f>
        <v>0</v>
      </c>
      <c r="K54" s="33">
        <f>SUMIFS('Lista Movimenti'!$C:$C, 'Lista Movimenti'!$B:$B, $A54, 'Lista Movimenti'!$E:$E, "Risparmio", 'Lista Movimenti'!$D:$D, "&gt;=01/10/2026", 'Lista Movimenti'!$D:$D, "&lt;=31/10/2026")</f>
        <v>0</v>
      </c>
      <c r="L54" s="33">
        <f>SUMIFS('Lista Movimenti'!$C:$C, 'Lista Movimenti'!$B:$B, $A54, 'Lista Movimenti'!$E:$E, "Risparmio", 'Lista Movimenti'!$D:$D, "&gt;=01/11/2026", 'Lista Movimenti'!$D:$D, "&lt;=30/11/2026")</f>
        <v>0</v>
      </c>
      <c r="M54" s="33">
        <f>SUMIFS('Lista Movimenti'!$C:$C, 'Lista Movimenti'!$B:$B, $A54, 'Lista Movimenti'!$E:$E, "Risparmio", 'Lista Movimenti'!$D:$D, "&gt;=01/12/2026", 'Lista Movimenti'!$D:$D, "&lt;=31/12/2026")</f>
        <v>0</v>
      </c>
      <c r="N54" s="33">
        <f t="shared" si="12"/>
        <v>0</v>
      </c>
      <c r="O54" s="33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</row>
    <row r="55" ht="22.5" customHeight="1">
      <c r="A55" s="32" t="s">
        <v>49</v>
      </c>
      <c r="B55" s="33">
        <f t="shared" ref="B55:N55" si="13">SUM(B38:B54)</f>
        <v>550</v>
      </c>
      <c r="C55" s="33">
        <f t="shared" si="13"/>
        <v>200</v>
      </c>
      <c r="D55" s="33">
        <f t="shared" si="13"/>
        <v>0</v>
      </c>
      <c r="E55" s="33">
        <f t="shared" si="13"/>
        <v>300</v>
      </c>
      <c r="F55" s="33">
        <f t="shared" si="13"/>
        <v>500</v>
      </c>
      <c r="G55" s="33">
        <f t="shared" si="13"/>
        <v>0</v>
      </c>
      <c r="H55" s="33">
        <f t="shared" si="13"/>
        <v>100</v>
      </c>
      <c r="I55" s="33">
        <f t="shared" si="13"/>
        <v>0</v>
      </c>
      <c r="J55" s="33">
        <f t="shared" si="13"/>
        <v>230</v>
      </c>
      <c r="K55" s="33">
        <f t="shared" si="13"/>
        <v>1790</v>
      </c>
      <c r="L55" s="33">
        <f t="shared" si="13"/>
        <v>0</v>
      </c>
      <c r="M55" s="33">
        <f t="shared" si="13"/>
        <v>250</v>
      </c>
      <c r="N55" s="33">
        <f t="shared" si="13"/>
        <v>326.6666667</v>
      </c>
      <c r="O55" s="33">
        <f>SUM(Risparmi_Anno[Obiettivo])</f>
        <v>0</v>
      </c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56">
        <v>0.0</v>
      </c>
      <c r="AF55" s="19"/>
      <c r="AG55" s="19"/>
      <c r="AH55" s="19"/>
      <c r="AI55" s="19"/>
    </row>
    <row r="56">
      <c r="A56" s="57"/>
      <c r="B56" s="58"/>
      <c r="C56" s="58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56"/>
      <c r="T56" s="19"/>
      <c r="U56" s="19"/>
      <c r="V56" s="19"/>
      <c r="W56" s="19"/>
    </row>
    <row r="57">
      <c r="A57" s="57"/>
      <c r="B57" s="58"/>
      <c r="C57" s="58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56"/>
      <c r="T57" s="19"/>
      <c r="U57" s="19"/>
      <c r="V57" s="19"/>
      <c r="W57" s="19"/>
    </row>
    <row r="58">
      <c r="A58" s="57"/>
      <c r="B58" s="58"/>
      <c r="C58" s="58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56"/>
      <c r="T58" s="19"/>
      <c r="U58" s="19"/>
      <c r="V58" s="19"/>
      <c r="W58" s="19"/>
    </row>
    <row r="59">
      <c r="A59" s="57"/>
      <c r="B59" s="58"/>
      <c r="C59" s="58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56"/>
      <c r="T59" s="19"/>
      <c r="U59" s="19"/>
      <c r="V59" s="19"/>
      <c r="W59" s="19"/>
    </row>
    <row r="60">
      <c r="A60" s="57"/>
      <c r="B60" s="58"/>
      <c r="C60" s="58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56"/>
      <c r="T60" s="19"/>
      <c r="U60" s="19"/>
      <c r="V60" s="19"/>
      <c r="W60" s="19"/>
    </row>
    <row r="61">
      <c r="A61" s="57"/>
      <c r="B61" s="58"/>
      <c r="C61" s="58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56"/>
      <c r="T61" s="19"/>
      <c r="U61" s="19"/>
      <c r="V61" s="19"/>
      <c r="W61" s="19"/>
    </row>
    <row r="62">
      <c r="A62" s="57"/>
      <c r="B62" s="58"/>
      <c r="C62" s="58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56"/>
      <c r="T62" s="19"/>
      <c r="U62" s="19"/>
      <c r="V62" s="19"/>
      <c r="W62" s="19"/>
    </row>
    <row r="63">
      <c r="A63" s="57"/>
      <c r="B63" s="58"/>
      <c r="C63" s="58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56"/>
      <c r="T63" s="19"/>
      <c r="U63" s="19"/>
      <c r="V63" s="19"/>
      <c r="W63" s="19"/>
    </row>
    <row r="64">
      <c r="A64" s="57"/>
      <c r="B64" s="58"/>
      <c r="C64" s="58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56"/>
      <c r="T64" s="19"/>
      <c r="U64" s="19"/>
      <c r="V64" s="19"/>
      <c r="W64" s="19"/>
    </row>
    <row r="65">
      <c r="A65" s="57"/>
      <c r="B65" s="58"/>
      <c r="C65" s="58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56"/>
      <c r="T65" s="19"/>
      <c r="U65" s="19"/>
      <c r="V65" s="19"/>
      <c r="W65" s="19"/>
    </row>
    <row r="66">
      <c r="A66" s="57"/>
      <c r="B66" s="58"/>
      <c r="C66" s="58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56"/>
      <c r="T66" s="19"/>
      <c r="U66" s="19"/>
      <c r="V66" s="19"/>
      <c r="W66" s="19"/>
    </row>
    <row r="67">
      <c r="A67" s="57"/>
      <c r="B67" s="58"/>
      <c r="C67" s="58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56"/>
      <c r="T67" s="19"/>
      <c r="U67" s="19"/>
      <c r="V67" s="19"/>
      <c r="W67" s="19"/>
    </row>
    <row r="68">
      <c r="A68" s="57"/>
      <c r="B68" s="58"/>
      <c r="C68" s="58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56"/>
      <c r="T68" s="19"/>
      <c r="U68" s="19"/>
      <c r="V68" s="19"/>
      <c r="W68" s="19"/>
    </row>
    <row r="69">
      <c r="A69" s="57"/>
      <c r="B69" s="58"/>
      <c r="C69" s="58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56"/>
      <c r="T69" s="19"/>
      <c r="U69" s="19"/>
      <c r="V69" s="19"/>
      <c r="W69" s="19"/>
    </row>
    <row r="70">
      <c r="A70" s="57"/>
      <c r="B70" s="58"/>
      <c r="C70" s="58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56"/>
      <c r="T70" s="19"/>
      <c r="U70" s="19"/>
      <c r="V70" s="19"/>
      <c r="W70" s="19"/>
    </row>
    <row r="71">
      <c r="A71" s="57"/>
      <c r="B71" s="58"/>
      <c r="C71" s="58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56"/>
      <c r="T71" s="19"/>
      <c r="U71" s="19"/>
      <c r="V71" s="19"/>
      <c r="W71" s="19"/>
    </row>
    <row r="72">
      <c r="A72" s="57"/>
      <c r="B72" s="58"/>
      <c r="C72" s="58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56"/>
      <c r="T72" s="19"/>
      <c r="U72" s="19"/>
      <c r="V72" s="19"/>
      <c r="W72" s="19"/>
    </row>
    <row r="73">
      <c r="A73" s="57"/>
      <c r="B73" s="58"/>
      <c r="C73" s="58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56"/>
      <c r="T73" s="19"/>
      <c r="U73" s="19"/>
      <c r="V73" s="19"/>
      <c r="W73" s="19"/>
    </row>
    <row r="74">
      <c r="A74" s="57"/>
      <c r="B74" s="58"/>
      <c r="C74" s="58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56"/>
      <c r="T74" s="19"/>
      <c r="U74" s="19"/>
      <c r="V74" s="19"/>
      <c r="W74" s="19"/>
    </row>
    <row r="75">
      <c r="A75" s="57"/>
      <c r="B75" s="58"/>
      <c r="C75" s="58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56"/>
      <c r="T75" s="19"/>
      <c r="U75" s="19"/>
      <c r="V75" s="19"/>
      <c r="W75" s="19"/>
    </row>
    <row r="76">
      <c r="A76" s="57"/>
      <c r="B76" s="58"/>
      <c r="C76" s="58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56"/>
      <c r="T76" s="19"/>
      <c r="U76" s="19"/>
      <c r="V76" s="19"/>
      <c r="W76" s="19"/>
    </row>
    <row r="77">
      <c r="A77" s="57"/>
      <c r="B77" s="58"/>
      <c r="C77" s="58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56"/>
      <c r="T77" s="19"/>
      <c r="U77" s="19"/>
      <c r="V77" s="19"/>
      <c r="W77" s="19"/>
    </row>
    <row r="78">
      <c r="A78" s="57"/>
      <c r="B78" s="58"/>
      <c r="C78" s="58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56"/>
      <c r="T78" s="19"/>
      <c r="U78" s="19"/>
      <c r="V78" s="19"/>
      <c r="W78" s="19"/>
    </row>
    <row r="79">
      <c r="A79" s="57"/>
      <c r="B79" s="58"/>
      <c r="C79" s="58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56"/>
      <c r="T79" s="19"/>
      <c r="U79" s="19"/>
      <c r="V79" s="19"/>
      <c r="W79" s="19"/>
    </row>
    <row r="80">
      <c r="A80" s="57"/>
      <c r="B80" s="58"/>
      <c r="C80" s="58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56"/>
      <c r="T80" s="19"/>
      <c r="U80" s="19"/>
      <c r="V80" s="19"/>
      <c r="W80" s="19"/>
    </row>
    <row r="81">
      <c r="A81" s="57"/>
      <c r="B81" s="58"/>
      <c r="C81" s="58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56"/>
      <c r="T81" s="19"/>
      <c r="U81" s="19"/>
      <c r="V81" s="19"/>
      <c r="W81" s="19"/>
    </row>
    <row r="82">
      <c r="A82" s="57"/>
      <c r="B82" s="58"/>
      <c r="C82" s="58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56"/>
      <c r="T82" s="19"/>
      <c r="U82" s="19"/>
      <c r="V82" s="19"/>
      <c r="W82" s="19"/>
    </row>
    <row r="83">
      <c r="A83" s="57"/>
      <c r="B83" s="58"/>
      <c r="C83" s="58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56"/>
      <c r="T83" s="19"/>
      <c r="U83" s="19"/>
      <c r="V83" s="19"/>
      <c r="W83" s="19"/>
    </row>
    <row r="84">
      <c r="A84" s="57"/>
      <c r="B84" s="58"/>
      <c r="C84" s="58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56"/>
      <c r="T84" s="19"/>
      <c r="U84" s="19"/>
      <c r="V84" s="19"/>
      <c r="W84" s="19"/>
    </row>
    <row r="85">
      <c r="A85" s="57"/>
      <c r="B85" s="58"/>
      <c r="C85" s="58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56"/>
      <c r="T85" s="19"/>
      <c r="U85" s="19"/>
      <c r="V85" s="19"/>
      <c r="W85" s="19"/>
    </row>
    <row r="86">
      <c r="A86" s="57"/>
      <c r="B86" s="58"/>
      <c r="C86" s="58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56"/>
      <c r="T86" s="19"/>
      <c r="U86" s="19"/>
      <c r="V86" s="19"/>
      <c r="W86" s="19"/>
    </row>
    <row r="87">
      <c r="A87" s="57"/>
      <c r="B87" s="58"/>
      <c r="C87" s="58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56"/>
      <c r="T87" s="19"/>
      <c r="U87" s="19"/>
      <c r="V87" s="19"/>
      <c r="W87" s="19"/>
    </row>
    <row r="88">
      <c r="A88" s="57"/>
      <c r="B88" s="58"/>
      <c r="C88" s="58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56"/>
      <c r="T88" s="19"/>
      <c r="U88" s="19"/>
      <c r="V88" s="19"/>
      <c r="W88" s="19"/>
    </row>
    <row r="89">
      <c r="A89" s="57"/>
      <c r="B89" s="58"/>
      <c r="C89" s="58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56"/>
      <c r="T89" s="19"/>
      <c r="U89" s="19"/>
      <c r="V89" s="19"/>
      <c r="W89" s="19"/>
    </row>
    <row r="90">
      <c r="A90" s="57"/>
      <c r="B90" s="58"/>
      <c r="C90" s="58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56"/>
      <c r="T90" s="19"/>
      <c r="U90" s="19"/>
      <c r="V90" s="19"/>
      <c r="W90" s="19"/>
    </row>
    <row r="91">
      <c r="A91" s="57"/>
      <c r="B91" s="58"/>
      <c r="C91" s="58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56"/>
      <c r="T91" s="19"/>
      <c r="U91" s="19"/>
      <c r="V91" s="19"/>
      <c r="W91" s="19"/>
    </row>
    <row r="92">
      <c r="A92" s="57"/>
      <c r="B92" s="58"/>
      <c r="C92" s="58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56"/>
      <c r="T92" s="19"/>
      <c r="U92" s="19"/>
      <c r="V92" s="19"/>
      <c r="W92" s="19"/>
    </row>
    <row r="93">
      <c r="A93" s="57"/>
      <c r="B93" s="58"/>
      <c r="C93" s="58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56"/>
      <c r="T93" s="19"/>
      <c r="U93" s="19"/>
      <c r="V93" s="19"/>
      <c r="W93" s="19"/>
    </row>
    <row r="94">
      <c r="A94" s="57"/>
      <c r="B94" s="58"/>
      <c r="C94" s="58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56"/>
      <c r="T94" s="19"/>
      <c r="U94" s="19"/>
      <c r="V94" s="19"/>
      <c r="W94" s="19"/>
    </row>
    <row r="95">
      <c r="A95" s="57"/>
      <c r="B95" s="58"/>
      <c r="C95" s="58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56"/>
      <c r="T95" s="19"/>
      <c r="U95" s="19"/>
      <c r="V95" s="19"/>
      <c r="W95" s="19"/>
    </row>
    <row r="96">
      <c r="A96" s="57"/>
      <c r="B96" s="58"/>
      <c r="C96" s="58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56"/>
      <c r="T96" s="19"/>
      <c r="U96" s="19"/>
      <c r="V96" s="19"/>
      <c r="W96" s="19"/>
    </row>
    <row r="97">
      <c r="A97" s="57"/>
      <c r="B97" s="58"/>
      <c r="C97" s="58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56"/>
      <c r="T97" s="19"/>
      <c r="U97" s="19"/>
      <c r="V97" s="19"/>
      <c r="W97" s="19"/>
    </row>
    <row r="98">
      <c r="A98" s="57"/>
      <c r="B98" s="58"/>
      <c r="C98" s="58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56"/>
      <c r="T98" s="19"/>
      <c r="U98" s="19"/>
      <c r="V98" s="19"/>
      <c r="W98" s="19"/>
    </row>
    <row r="99">
      <c r="A99" s="57"/>
      <c r="B99" s="58"/>
      <c r="C99" s="58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56"/>
      <c r="T99" s="19"/>
      <c r="U99" s="19"/>
      <c r="V99" s="19"/>
      <c r="W99" s="19"/>
    </row>
    <row r="100">
      <c r="A100" s="57"/>
      <c r="B100" s="58"/>
      <c r="C100" s="58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56"/>
      <c r="T100" s="19"/>
      <c r="U100" s="19"/>
      <c r="V100" s="19"/>
      <c r="W100" s="19"/>
    </row>
    <row r="101">
      <c r="A101" s="57"/>
      <c r="B101" s="58"/>
      <c r="C101" s="58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56"/>
      <c r="T101" s="19"/>
      <c r="U101" s="19"/>
      <c r="V101" s="19"/>
      <c r="W101" s="19"/>
    </row>
    <row r="102">
      <c r="A102" s="57"/>
      <c r="B102" s="58"/>
      <c r="C102" s="58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56"/>
      <c r="T102" s="19"/>
      <c r="U102" s="19"/>
      <c r="V102" s="19"/>
      <c r="W102" s="19"/>
    </row>
    <row r="103">
      <c r="A103" s="57"/>
      <c r="B103" s="58"/>
      <c r="C103" s="58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56"/>
      <c r="T103" s="19"/>
      <c r="U103" s="19"/>
      <c r="V103" s="19"/>
      <c r="W103" s="19"/>
    </row>
    <row r="104">
      <c r="A104" s="57"/>
      <c r="B104" s="58"/>
      <c r="C104" s="58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56"/>
      <c r="T104" s="19"/>
      <c r="U104" s="19"/>
      <c r="V104" s="19"/>
      <c r="W104" s="19"/>
    </row>
    <row r="105">
      <c r="A105" s="57"/>
      <c r="B105" s="58"/>
      <c r="C105" s="58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56"/>
      <c r="T105" s="19"/>
      <c r="U105" s="19"/>
      <c r="V105" s="19"/>
      <c r="W105" s="19"/>
    </row>
  </sheetData>
  <conditionalFormatting sqref="C34:O34">
    <cfRule type="cellIs" dxfId="9" priority="1" operator="greaterThan">
      <formula>0</formula>
    </cfRule>
  </conditionalFormatting>
  <conditionalFormatting sqref="C34:O34">
    <cfRule type="cellIs" dxfId="10" priority="2" operator="lessThan">
      <formula>0</formula>
    </cfRule>
  </conditionalFormatting>
  <conditionalFormatting sqref="A34:B34 D34:Q34">
    <cfRule type="expression" dxfId="11" priority="3">
      <formula>$C34&gt;0</formula>
    </cfRule>
  </conditionalFormatting>
  <conditionalFormatting sqref="A34:B34 D34:Q34">
    <cfRule type="expression" dxfId="12" priority="4">
      <formula>$C34&lt;0</formula>
    </cfRule>
  </conditionalFormatting>
  <conditionalFormatting sqref="AC6">
    <cfRule type="notContainsBlanks" dxfId="13" priority="5">
      <formula>LEN(TRIM(AC6))&gt;0</formula>
    </cfRule>
  </conditionalFormatting>
  <dataValidations>
    <dataValidation type="list" allowBlank="1" sqref="A4:A7">
      <formula1>#REF!</formula1>
    </dataValidation>
    <dataValidation type="custom" allowBlank="1" showDropDown="1" sqref="B4:B7 O4:P7 C13:C34 P13:Q34 B38:B54 O38:O54">
      <formula1>AND(ISNUMBER(B4),(NOT(OR(NOT(ISERROR(DATEVALUE(B4))), AND(ISNUMBER(B4), LEFT(CELL("format", B4))="D")))))</formula1>
    </dataValidation>
    <dataValidation type="list" allowBlank="1" sqref="B13:B34 A38:A54">
      <formula1>#REF!</formula1>
    </dataValidation>
  </dataValidation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25"/>
    <col customWidth="1" min="2" max="2" width="25.38"/>
    <col customWidth="1" min="3" max="3" width="16.25"/>
    <col customWidth="1" min="4" max="4" width="17.0"/>
  </cols>
  <sheetData>
    <row r="1" ht="108.0" customHeight="1">
      <c r="A1" s="14" t="s">
        <v>50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>
      <c r="A2" s="17"/>
      <c r="B2" s="18"/>
      <c r="C2" s="17"/>
      <c r="D2" s="19"/>
      <c r="E2" s="19"/>
      <c r="F2" s="20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ht="22.5" customHeight="1">
      <c r="A3" s="21" t="s">
        <v>1</v>
      </c>
      <c r="B3" s="22" t="s">
        <v>51</v>
      </c>
      <c r="C3" s="23" t="s">
        <v>38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ht="22.5" customHeight="1">
      <c r="A4" s="24" t="s">
        <v>20</v>
      </c>
      <c r="B4" s="25">
        <f>SUMIFS('Lista Movimenti'!C:C, 'Lista Movimenti'!B:B, A4,'Lista Movimenti'!D:D, "&gt;=01/01/2026", 'Lista Movimenti'!D:D, "&lt;=31/01/2026")</f>
        <v>1500</v>
      </c>
      <c r="C4" s="5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ht="22.5" customHeight="1">
      <c r="A5" s="28" t="s">
        <v>21</v>
      </c>
      <c r="B5" s="25">
        <f>SUMIFS('Lista Movimenti'!C:C, 'Lista Movimenti'!B:B, A5,'Lista Movimenti'!D:D, "&gt;=01/01/2026", 'Lista Movimenti'!D:D, "&lt;=31/01/2026")</f>
        <v>50</v>
      </c>
      <c r="C5" s="33"/>
      <c r="D5" s="19"/>
      <c r="E5" s="17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ht="22.5" customHeight="1">
      <c r="A6" s="31"/>
      <c r="B6" s="25">
        <f>SUMIFS('Lista Movimenti'!C:C, 'Lista Movimenti'!B:B, A6,'Lista Movimenti'!D:D, "&gt;=01/01/2026", 'Lista Movimenti'!D:D, "&lt;=31/01/2026")</f>
        <v>0</v>
      </c>
      <c r="C6" s="33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ht="22.5" customHeight="1">
      <c r="A7" s="31"/>
      <c r="B7" s="25">
        <f>SUMIFS('Lista Movimenti'!C:C, 'Lista Movimenti'!B:B, A7,'Lista Movimenti'!D:D, "&gt;=01/01/2026", 'Lista Movimenti'!D:D, "&lt;=31/01/2026")</f>
        <v>0</v>
      </c>
      <c r="C7" s="33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22.5" customHeight="1">
      <c r="A8" s="60"/>
      <c r="B8" s="61">
        <f>SUM(Entrate_Gen[Totale])</f>
        <v>1550</v>
      </c>
      <c r="C8" s="61">
        <f>SUM(Entrate_Gen[Obiettivo])</f>
        <v>0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>
      <c r="A9" s="19"/>
      <c r="B9" s="35"/>
      <c r="C9" s="36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>
      <c r="A10" s="37"/>
      <c r="B10" s="37"/>
      <c r="C10" s="37"/>
      <c r="D10" s="17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>
      <c r="A11" s="37"/>
      <c r="B11" s="37"/>
      <c r="C11" s="37"/>
      <c r="D11" s="17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ht="22.5" customHeight="1">
      <c r="A12" s="23" t="s">
        <v>41</v>
      </c>
      <c r="B12" s="22" t="s">
        <v>1</v>
      </c>
      <c r="C12" s="23" t="s">
        <v>51</v>
      </c>
      <c r="D12" s="23" t="s">
        <v>38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ht="22.5" customHeight="1">
      <c r="A13" s="38"/>
      <c r="B13" s="28" t="s">
        <v>15</v>
      </c>
      <c r="C13" s="33">
        <f>SUMIFS('Lista Movimenti'!C:C, 'Lista Movimenti'!B:B, B13, 'Lista Movimenti'!E:E, "Spesa", 'Lista Movimenti'!D:D, "&gt;=01/01/2026", 'Lista Movimenti'!D:D, "&lt;=31/01/2026")</f>
        <v>230</v>
      </c>
      <c r="D13" s="39">
        <v>200.0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ht="22.5" customHeight="1">
      <c r="A14" s="38"/>
      <c r="B14" s="28" t="s">
        <v>10</v>
      </c>
      <c r="C14" s="33">
        <f>SUMIFS('Lista Movimenti'!C:C, 'Lista Movimenti'!B:B, B14, 'Lista Movimenti'!E:E, "Spesa", 'Lista Movimenti'!D:D, "&gt;=01/01/2026", 'Lista Movimenti'!D:D, "&lt;=31/01/2026")</f>
        <v>125</v>
      </c>
      <c r="D14" s="39">
        <v>280.0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ht="22.5" customHeight="1">
      <c r="A15" s="38"/>
      <c r="B15" s="28" t="s">
        <v>23</v>
      </c>
      <c r="C15" s="33">
        <f>SUMIFS('Lista Movimenti'!C:C, 'Lista Movimenti'!B:B, B15, 'Lista Movimenti'!E:E, "Spesa", 'Lista Movimenti'!D:D, "&gt;=01/01/2026", 'Lista Movimenti'!D:D, "&lt;=31/01/2026")</f>
        <v>100</v>
      </c>
      <c r="D15" s="39">
        <v>50.0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ht="22.5" customHeight="1">
      <c r="A16" s="38"/>
      <c r="B16" s="28" t="s">
        <v>14</v>
      </c>
      <c r="C16" s="33">
        <f>SUMIFS('Lista Movimenti'!C:C, 'Lista Movimenti'!B:B, B16, 'Lista Movimenti'!E:E, "Spesa", 'Lista Movimenti'!D:D, "&gt;=01/01/2026", 'Lista Movimenti'!D:D, "&lt;=31/01/2026")</f>
        <v>29</v>
      </c>
      <c r="D16" s="39">
        <v>40.0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ht="22.5" customHeight="1">
      <c r="A17" s="38"/>
      <c r="B17" s="28" t="s">
        <v>19</v>
      </c>
      <c r="C17" s="33">
        <f>SUMIFS('Lista Movimenti'!C:C, 'Lista Movimenti'!B:B, B17, 'Lista Movimenti'!E:E, "Spesa", 'Lista Movimenti'!D:D, "&gt;=01/01/2026", 'Lista Movimenti'!D:D, "&lt;=31/01/2026")</f>
        <v>12</v>
      </c>
      <c r="D17" s="39">
        <v>15.0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ht="22.5" customHeight="1">
      <c r="A18" s="38"/>
      <c r="B18" s="28" t="s">
        <v>22</v>
      </c>
      <c r="C18" s="33">
        <f>SUMIFS('Lista Movimenti'!C:C, 'Lista Movimenti'!B:B, B18, 'Lista Movimenti'!E:E, "Spesa", 'Lista Movimenti'!D:D, "&gt;=01/01/2026", 'Lista Movimenti'!D:D, "&lt;=31/01/2026")</f>
        <v>60</v>
      </c>
      <c r="D18" s="39">
        <v>45.0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ht="22.5" customHeight="1">
      <c r="A19" s="38"/>
      <c r="B19" s="28" t="s">
        <v>16</v>
      </c>
      <c r="C19" s="33">
        <f>SUMIFS('Lista Movimenti'!C:C, 'Lista Movimenti'!B:B, B19, 'Lista Movimenti'!E:E, "Spesa", 'Lista Movimenti'!D:D, "&gt;=01/01/2026", 'Lista Movimenti'!D:D, "&lt;=31/01/2026")</f>
        <v>112</v>
      </c>
      <c r="D19" s="39">
        <v>35.0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ht="22.5" customHeight="1">
      <c r="A20" s="41" t="s">
        <v>42</v>
      </c>
      <c r="B20" s="42" t="s">
        <v>43</v>
      </c>
      <c r="C20" s="43">
        <f t="shared" ref="C20:D20" si="1">SUM(C13:C19)</f>
        <v>668</v>
      </c>
      <c r="D20" s="43">
        <f t="shared" si="1"/>
        <v>665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ht="22.5" customHeight="1">
      <c r="A21" s="38"/>
      <c r="B21" s="31"/>
      <c r="C21" s="33"/>
      <c r="D21" s="33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ht="22.5" customHeight="1">
      <c r="A22" s="45" t="s">
        <v>44</v>
      </c>
      <c r="B22" s="46" t="s">
        <v>45</v>
      </c>
      <c r="C22" s="47" t="s">
        <v>51</v>
      </c>
      <c r="D22" s="47" t="s">
        <v>38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22.5" customHeight="1">
      <c r="A23" s="38"/>
      <c r="B23" s="28" t="s">
        <v>12</v>
      </c>
      <c r="C23" s="33">
        <f>SUMIFS('Lista Movimenti'!C:C, 'Lista Movimenti'!B:B, B23, 'Lista Movimenti'!E:E, "Spesa", 'Lista Movimenti'!D:D, "&gt;=01/01/2026", 'Lista Movimenti'!D:D, "&lt;=31/01/2026")</f>
        <v>9</v>
      </c>
      <c r="D23" s="39">
        <v>22.0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ht="22.5" customHeight="1">
      <c r="A24" s="38"/>
      <c r="B24" s="28" t="s">
        <v>8</v>
      </c>
      <c r="C24" s="33">
        <f>SUMIFS('Lista Movimenti'!C:C, 'Lista Movimenti'!B:B, B24, 'Lista Movimenti'!E:E, "Spesa", 'Lista Movimenti'!D:D, "&gt;=01/01/2026", 'Lista Movimenti'!D:D, "&lt;=31/01/2026")</f>
        <v>64</v>
      </c>
      <c r="D24" s="39">
        <v>85.0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ht="22.5" customHeight="1">
      <c r="A25" s="38"/>
      <c r="B25" s="28" t="s">
        <v>13</v>
      </c>
      <c r="C25" s="33">
        <f>SUMIFS('Lista Movimenti'!C:C, 'Lista Movimenti'!B:B, B25, 'Lista Movimenti'!E:E, "Spesa", 'Lista Movimenti'!D:D, "&gt;=01/01/2026", 'Lista Movimenti'!D:D, "&lt;=31/01/2026")</f>
        <v>36</v>
      </c>
      <c r="D25" s="39">
        <v>24.0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ht="22.5" customHeight="1">
      <c r="A26" s="38"/>
      <c r="B26" s="28" t="s">
        <v>11</v>
      </c>
      <c r="C26" s="33">
        <f>SUMIFS('Lista Movimenti'!C:C, 'Lista Movimenti'!B:B, B26, 'Lista Movimenti'!E:E, "Spesa", 'Lista Movimenti'!D:D, "&gt;=01/01/2026", 'Lista Movimenti'!D:D, "&lt;=31/01/2026")</f>
        <v>200</v>
      </c>
      <c r="D26" s="39">
        <v>20.0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ht="22.5" customHeight="1">
      <c r="A27" s="38"/>
      <c r="B27" s="28" t="s">
        <v>5</v>
      </c>
      <c r="C27" s="33">
        <f>SUMIFS('Lista Movimenti'!C:C, 'Lista Movimenti'!B:B, B27, 'Lista Movimenti'!E:E, "Spesa", 'Lista Movimenti'!D:D, "&gt;=01/01/2026", 'Lista Movimenti'!D:D, "&lt;=31/01/2026")</f>
        <v>0</v>
      </c>
      <c r="D27" s="39">
        <v>60.0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ht="22.5" customHeight="1">
      <c r="A28" s="38"/>
      <c r="B28" s="28" t="s">
        <v>18</v>
      </c>
      <c r="C28" s="33">
        <f>SUMIFS('Lista Movimenti'!C:C, 'Lista Movimenti'!B:B, B28, 'Lista Movimenti'!E:E, "Spesa", 'Lista Movimenti'!D:D, "&gt;=01/01/2026", 'Lista Movimenti'!D:D, "&lt;=31/01/2026")</f>
        <v>32</v>
      </c>
      <c r="D28" s="39">
        <v>40.0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ht="22.5" customHeight="1">
      <c r="A29" s="38"/>
      <c r="B29" s="28" t="s">
        <v>17</v>
      </c>
      <c r="C29" s="33">
        <f>SUMIFS('Lista Movimenti'!C:C, 'Lista Movimenti'!B:B, B29, 'Lista Movimenti'!E:E, "Spesa", 'Lista Movimenti'!D:D, "&gt;=01/01/2026", 'Lista Movimenti'!D:D, "&lt;=31/01/2026")</f>
        <v>100</v>
      </c>
      <c r="D29" s="39">
        <v>95.0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ht="22.5" customHeight="1">
      <c r="A30" s="38"/>
      <c r="B30" s="28" t="s">
        <v>7</v>
      </c>
      <c r="C30" s="33">
        <f>SUMIFS('Lista Movimenti'!C:C, 'Lista Movimenti'!B:B, B30, 'Lista Movimenti'!E:E, "Spesa", 'Lista Movimenti'!D:D, "&gt;=01/01/2026", 'Lista Movimenti'!D:D, "&lt;=31/01/2026")</f>
        <v>0</v>
      </c>
      <c r="D30" s="39">
        <v>13.0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ht="22.5" customHeight="1">
      <c r="A31" s="45" t="s">
        <v>46</v>
      </c>
      <c r="B31" s="46" t="s">
        <v>45</v>
      </c>
      <c r="C31" s="48">
        <f t="shared" ref="C31:D31" si="2">SUM(C23:C30)</f>
        <v>441</v>
      </c>
      <c r="D31" s="48">
        <f t="shared" si="2"/>
        <v>359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ht="22.5" customHeight="1">
      <c r="A32" s="38"/>
      <c r="B32" s="31"/>
      <c r="C32" s="33"/>
      <c r="D32" s="33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ht="22.5" customHeight="1">
      <c r="A33" s="50" t="s">
        <v>47</v>
      </c>
      <c r="B33" s="51"/>
      <c r="C33" s="52">
        <f t="shared" ref="C33:D33" si="3">(C31 + C20)</f>
        <v>1109</v>
      </c>
      <c r="D33" s="52">
        <f t="shared" si="3"/>
        <v>1024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ht="22.5" customHeight="1">
      <c r="A34" s="32" t="s">
        <v>48</v>
      </c>
      <c r="B34" s="31"/>
      <c r="C34" s="33">
        <f>(B8-C33)</f>
        <v>441</v>
      </c>
      <c r="D34" s="33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>
      <c r="A35" s="19"/>
      <c r="B35" s="55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>
      <c r="A36" s="17"/>
      <c r="B36" s="18"/>
      <c r="C36" s="17"/>
      <c r="D36" s="17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ht="22.5" customHeight="1">
      <c r="A37" s="23" t="s">
        <v>1</v>
      </c>
      <c r="B37" s="22" t="s">
        <v>51</v>
      </c>
      <c r="C37" s="23" t="s">
        <v>38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22.5" customHeight="1">
      <c r="A38" s="28" t="s">
        <v>15</v>
      </c>
      <c r="B38" s="33">
        <f>SUMIFS('Lista Movimenti'!C:C, 'Lista Movimenti'!B:B, A38, 'Lista Movimenti'!E:E, "Risparmio", 'Lista Movimenti'!D:D, "&gt;=01/01/2026", 'Lista Movimenti'!D:D, "&lt;=31/01/2026")</f>
        <v>0</v>
      </c>
      <c r="C38" s="33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22.5" customHeight="1">
      <c r="A39" s="28" t="s">
        <v>10</v>
      </c>
      <c r="B39" s="33">
        <f>SUMIFS('Lista Movimenti'!C:C, 'Lista Movimenti'!B:B, A39, 'Lista Movimenti'!E:E, "Risparmio", 'Lista Movimenti'!D:D, "&gt;=01/01/2026", 'Lista Movimenti'!D:D, "&lt;=31/01/2026")</f>
        <v>0</v>
      </c>
      <c r="C39" s="33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22.5" customHeight="1">
      <c r="A40" s="28" t="s">
        <v>23</v>
      </c>
      <c r="B40" s="33">
        <f>SUMIFS('Lista Movimenti'!C:C, 'Lista Movimenti'!B:B, A40, 'Lista Movimenti'!E:E, "Risparmio", 'Lista Movimenti'!D:D, "&gt;=01/01/2026", 'Lista Movimenti'!D:D, "&lt;=31/01/2026")</f>
        <v>0</v>
      </c>
      <c r="C40" s="33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22.5" customHeight="1">
      <c r="A41" s="28" t="s">
        <v>14</v>
      </c>
      <c r="B41" s="33">
        <f>SUMIFS('Lista Movimenti'!C:C, 'Lista Movimenti'!B:B, A41, 'Lista Movimenti'!E:E, "Risparmio", 'Lista Movimenti'!D:D, "&gt;=01/01/2026", 'Lista Movimenti'!D:D, "&lt;=31/01/2026")</f>
        <v>0</v>
      </c>
      <c r="C41" s="33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22.5" customHeight="1">
      <c r="A42" s="28" t="s">
        <v>19</v>
      </c>
      <c r="B42" s="33">
        <f>SUMIFS('Lista Movimenti'!C:C, 'Lista Movimenti'!B:B, A42, 'Lista Movimenti'!E:E, "Risparmio", 'Lista Movimenti'!D:D, "&gt;=01/01/2026", 'Lista Movimenti'!D:D, "&lt;=31/01/2026")</f>
        <v>0</v>
      </c>
      <c r="C42" s="33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22.5" customHeight="1">
      <c r="A43" s="28" t="s">
        <v>22</v>
      </c>
      <c r="B43" s="33">
        <f>SUMIFS('Lista Movimenti'!C:C, 'Lista Movimenti'!B:B, A43, 'Lista Movimenti'!E:E, "Risparmio", 'Lista Movimenti'!D:D, "&gt;=01/01/2026", 'Lista Movimenti'!D:D, "&lt;=31/01/2026")</f>
        <v>0</v>
      </c>
      <c r="C43" s="33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22.5" customHeight="1">
      <c r="A44" s="28" t="s">
        <v>16</v>
      </c>
      <c r="B44" s="33">
        <f>SUMIFS('Lista Movimenti'!C:C, 'Lista Movimenti'!B:B, A44, 'Lista Movimenti'!E:E, "Risparmio", 'Lista Movimenti'!D:D, "&gt;=01/01/2026", 'Lista Movimenti'!D:D, "&lt;=31/01/2026")</f>
        <v>0</v>
      </c>
      <c r="C44" s="33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22.5" customHeight="1">
      <c r="A45" s="28" t="s">
        <v>12</v>
      </c>
      <c r="B45" s="33">
        <f>SUMIFS('Lista Movimenti'!C:C, 'Lista Movimenti'!B:B, A45, 'Lista Movimenti'!E:E, "Risparmio", 'Lista Movimenti'!D:D, "&gt;=01/01/2026", 'Lista Movimenti'!D:D, "&lt;=31/01/2026")</f>
        <v>0</v>
      </c>
      <c r="C45" s="33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22.5" customHeight="1">
      <c r="A46" s="28" t="s">
        <v>8</v>
      </c>
      <c r="B46" s="33">
        <f>SUMIFS('Lista Movimenti'!C:C, 'Lista Movimenti'!B:B, A46, 'Lista Movimenti'!E:E, "Risparmio", 'Lista Movimenti'!D:D, "&gt;=01/01/2026", 'Lista Movimenti'!D:D, "&lt;=31/01/2026")</f>
        <v>0</v>
      </c>
      <c r="C46" s="33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22.5" customHeight="1">
      <c r="A47" s="28" t="s">
        <v>13</v>
      </c>
      <c r="B47" s="33">
        <f>SUMIFS('Lista Movimenti'!C:C, 'Lista Movimenti'!B:B, A47, 'Lista Movimenti'!E:E, "Risparmio", 'Lista Movimenti'!D:D, "&gt;=01/01/2026", 'Lista Movimenti'!D:D, "&lt;=31/01/2026")</f>
        <v>0</v>
      </c>
      <c r="C47" s="33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22.5" customHeight="1">
      <c r="A48" s="28" t="s">
        <v>11</v>
      </c>
      <c r="B48" s="33">
        <f>SUMIFS('Lista Movimenti'!C:C, 'Lista Movimenti'!B:B, A48, 'Lista Movimenti'!E:E, "Risparmio", 'Lista Movimenti'!D:D, "&gt;=01/01/2026", 'Lista Movimenti'!D:D, "&lt;=31/01/2026")</f>
        <v>0</v>
      </c>
      <c r="C48" s="33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22.5" customHeight="1">
      <c r="A49" s="28" t="s">
        <v>5</v>
      </c>
      <c r="B49" s="33">
        <f>SUMIFS('Lista Movimenti'!C:C, 'Lista Movimenti'!B:B, A49, 'Lista Movimenti'!E:E, "Risparmio", 'Lista Movimenti'!D:D, "&gt;=01/01/2026", 'Lista Movimenti'!D:D, "&lt;=31/01/2026")</f>
        <v>500</v>
      </c>
      <c r="C49" s="33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22.5" customHeight="1">
      <c r="A50" s="28" t="s">
        <v>18</v>
      </c>
      <c r="B50" s="33">
        <f>SUMIFS('Lista Movimenti'!C:C, 'Lista Movimenti'!B:B, A50, 'Lista Movimenti'!E:E, "Risparmio", 'Lista Movimenti'!D:D, "&gt;=01/01/2026", 'Lista Movimenti'!D:D, "&lt;=31/01/2026")</f>
        <v>0</v>
      </c>
      <c r="C50" s="33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22.5" customHeight="1">
      <c r="A51" s="28" t="s">
        <v>17</v>
      </c>
      <c r="B51" s="33">
        <f>SUMIFS('Lista Movimenti'!C:C, 'Lista Movimenti'!B:B, A51, 'Lista Movimenti'!E:E, "Risparmio", 'Lista Movimenti'!D:D, "&gt;=01/01/2026", 'Lista Movimenti'!D:D, "&lt;=31/01/2026")</f>
        <v>0</v>
      </c>
      <c r="C51" s="33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22.5" customHeight="1">
      <c r="A52" s="28" t="s">
        <v>7</v>
      </c>
      <c r="B52" s="33">
        <f>SUMIFS('Lista Movimenti'!C:C, 'Lista Movimenti'!B:B, A52, 'Lista Movimenti'!E:E, "Risparmio", 'Lista Movimenti'!D:D, "&gt;=01/01/2026", 'Lista Movimenti'!D:D, "&lt;=31/01/2026")</f>
        <v>50</v>
      </c>
      <c r="C52" s="33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22.5" customHeight="1">
      <c r="A53" s="28" t="s">
        <v>20</v>
      </c>
      <c r="B53" s="33">
        <f>SUMIFS('Lista Movimenti'!C:C, 'Lista Movimenti'!B:B, A53, 'Lista Movimenti'!E:E, "Risparmio", 'Lista Movimenti'!D:D, "&gt;=01/01/2026", 'Lista Movimenti'!D:D, "&lt;=31/01/2026")</f>
        <v>0</v>
      </c>
      <c r="C53" s="33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22.5" customHeight="1">
      <c r="A54" s="28" t="s">
        <v>21</v>
      </c>
      <c r="B54" s="33">
        <f>SUMIFS('Lista Movimenti'!C:C, 'Lista Movimenti'!B:B, A54, 'Lista Movimenti'!E:E, "Risparmio", 'Lista Movimenti'!D:D, "&gt;=01/01/2026", 'Lista Movimenti'!D:D, "&lt;=31/01/2026")</f>
        <v>0</v>
      </c>
      <c r="C54" s="33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22.5" customHeight="1">
      <c r="A55" s="32" t="s">
        <v>49</v>
      </c>
      <c r="B55" s="33">
        <f>SUM(Risparmi[Totale])</f>
        <v>550</v>
      </c>
      <c r="C55" s="33">
        <f>SUM(Risparmi[Obiettivo])</f>
        <v>0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56">
        <v>0.0</v>
      </c>
      <c r="T55" s="19"/>
      <c r="U55" s="19"/>
      <c r="V55" s="19"/>
      <c r="W55" s="19"/>
    </row>
  </sheetData>
  <conditionalFormatting sqref="C34">
    <cfRule type="cellIs" dxfId="9" priority="1" operator="greaterThan">
      <formula>0</formula>
    </cfRule>
  </conditionalFormatting>
  <conditionalFormatting sqref="C34">
    <cfRule type="cellIs" dxfId="10" priority="2" operator="lessThan">
      <formula>0</formula>
    </cfRule>
  </conditionalFormatting>
  <conditionalFormatting sqref="D34 A34:B34">
    <cfRule type="expression" dxfId="11" priority="3">
      <formula>$C34&gt;0</formula>
    </cfRule>
  </conditionalFormatting>
  <conditionalFormatting sqref="D34 A34:B34">
    <cfRule type="expression" dxfId="12" priority="4">
      <formula>$C34&lt;0</formula>
    </cfRule>
  </conditionalFormatting>
  <conditionalFormatting sqref="P6">
    <cfRule type="notContainsBlanks" dxfId="13" priority="5">
      <formula>LEN(TRIM(P6))&gt;0</formula>
    </cfRule>
  </conditionalFormatting>
  <dataValidations>
    <dataValidation type="list" allowBlank="1" sqref="A4:A7">
      <formula1>#REF!</formula1>
    </dataValidation>
    <dataValidation type="custom" allowBlank="1" showDropDown="1" sqref="B4:C7 C13:D34 B38:C54">
      <formula1>AND(ISNUMBER(B4),(NOT(OR(NOT(ISERROR(DATEVALUE(B4))), AND(ISNUMBER(B4), LEFT(CELL("format", B4))="D")))))</formula1>
    </dataValidation>
    <dataValidation type="list" allowBlank="1" sqref="B13:B34 A38:A54">
      <formula1>#REF!</formula1>
    </dataValidation>
  </dataValidations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25"/>
    <col customWidth="1" min="2" max="2" width="25.38"/>
    <col customWidth="1" min="3" max="3" width="16.25"/>
    <col customWidth="1" min="4" max="4" width="17.0"/>
  </cols>
  <sheetData>
    <row r="1" ht="108.0" customHeight="1">
      <c r="A1" s="14" t="s">
        <v>50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>
      <c r="A2" s="17"/>
      <c r="B2" s="18"/>
      <c r="C2" s="17"/>
      <c r="D2" s="19"/>
      <c r="E2" s="19"/>
      <c r="F2" s="20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ht="22.5" customHeight="1">
      <c r="A3" s="21" t="s">
        <v>1</v>
      </c>
      <c r="B3" s="22" t="s">
        <v>51</v>
      </c>
      <c r="C3" s="23" t="s">
        <v>38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ht="22.5" customHeight="1">
      <c r="A4" s="24" t="s">
        <v>20</v>
      </c>
      <c r="B4" s="25">
        <f>SUMIFS('Lista Movimenti'!$C:$C, 'Lista Movimenti'!$B:$B, $A4, 'Lista Movimenti'!$D:$D, "&gt;="&amp;DATE(2026,2,1), 'Lista Movimenti'!$D:$D, "&lt;="&amp;DATE(2026,2,28))</f>
        <v>1400</v>
      </c>
      <c r="C4" s="5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ht="22.5" customHeight="1">
      <c r="A5" s="28" t="s">
        <v>21</v>
      </c>
      <c r="B5" s="25">
        <f>SUMIFS('Lista Movimenti'!$C:$C, 'Lista Movimenti'!$B:$B, $A5, 'Lista Movimenti'!$D:$D, "&gt;="&amp;DATE(2026,2,1), 'Lista Movimenti'!$D:$D, "&lt;="&amp;DATE(2026,2,28))</f>
        <v>0</v>
      </c>
      <c r="C5" s="33"/>
      <c r="D5" s="19"/>
      <c r="E5" s="17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ht="22.5" customHeight="1">
      <c r="A6" s="31"/>
      <c r="B6" s="25">
        <f>SUMIFS('Lista Movimenti'!$C:$C, 'Lista Movimenti'!$B:$B, $A6, 'Lista Movimenti'!$D:$D, "&gt;="&amp;DATE(2026,2,1), 'Lista Movimenti'!$D:$D, "&lt;="&amp;DATE(2026,2,28))</f>
        <v>0</v>
      </c>
      <c r="C6" s="33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ht="22.5" customHeight="1">
      <c r="A7" s="31"/>
      <c r="B7" s="25">
        <f>SUMIFS('Lista Movimenti'!$C:$C, 'Lista Movimenti'!$B:$B, $A7, 'Lista Movimenti'!$D:$D, "&gt;="&amp;DATE(2026,2,1), 'Lista Movimenti'!$D:$D, "&lt;="&amp;DATE(2026,2,28))</f>
        <v>0</v>
      </c>
      <c r="C7" s="33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22.5" customHeight="1">
      <c r="A8" s="60"/>
      <c r="B8" s="61">
        <f>SUM(Entrate_Feb[Totale])</f>
        <v>1400</v>
      </c>
      <c r="C8" s="61">
        <f>SUM(Entrate_Feb[Obiettivo])</f>
        <v>0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>
      <c r="A9" s="19"/>
      <c r="B9" s="35"/>
      <c r="C9" s="36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>
      <c r="A10" s="37"/>
      <c r="B10" s="37"/>
      <c r="C10" s="37"/>
      <c r="D10" s="17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>
      <c r="A11" s="37"/>
      <c r="B11" s="37"/>
      <c r="C11" s="37"/>
      <c r="D11" s="17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ht="22.5" customHeight="1">
      <c r="A12" s="23" t="s">
        <v>41</v>
      </c>
      <c r="B12" s="22" t="s">
        <v>1</v>
      </c>
      <c r="C12" s="23" t="s">
        <v>51</v>
      </c>
      <c r="D12" s="23" t="s">
        <v>38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ht="22.5" customHeight="1">
      <c r="A13" s="38"/>
      <c r="B13" s="28" t="s">
        <v>15</v>
      </c>
      <c r="C13" s="33">
        <f>SUMIFS('Lista Movimenti'!$C:$C, 'Lista Movimenti'!$B:$B, $B13, 'Lista Movimenti'!$E:$E, "Spesa", 'Lista Movimenti'!$D:$D, "&gt;=01/02/2026", 'Lista Movimenti'!$D:$D, "&lt;=28/02/2026")</f>
        <v>780</v>
      </c>
      <c r="D13" s="39">
        <v>200.0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ht="22.5" customHeight="1">
      <c r="A14" s="38"/>
      <c r="B14" s="28" t="s">
        <v>10</v>
      </c>
      <c r="C14" s="33">
        <f>SUMIFS('Lista Movimenti'!$C:$C, 'Lista Movimenti'!$B:$B, $B14, 'Lista Movimenti'!$E:$E, "Spesa", 'Lista Movimenti'!$D:$D, "&gt;=01/02/2026", 'Lista Movimenti'!$D:$D, "&lt;=28/02/2026")</f>
        <v>0</v>
      </c>
      <c r="D14" s="39">
        <v>280.0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ht="22.5" customHeight="1">
      <c r="A15" s="38"/>
      <c r="B15" s="28" t="s">
        <v>23</v>
      </c>
      <c r="C15" s="33">
        <f>SUMIFS('Lista Movimenti'!$C:$C, 'Lista Movimenti'!$B:$B, $B15, 'Lista Movimenti'!$E:$E, "Spesa", 'Lista Movimenti'!$D:$D, "&gt;=01/02/2026", 'Lista Movimenti'!$D:$D, "&lt;=28/02/2026")</f>
        <v>0</v>
      </c>
      <c r="D15" s="39">
        <v>50.0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ht="22.5" customHeight="1">
      <c r="A16" s="38"/>
      <c r="B16" s="28" t="s">
        <v>14</v>
      </c>
      <c r="C16" s="33">
        <f>SUMIFS('Lista Movimenti'!$C:$C, 'Lista Movimenti'!$B:$B, $B16, 'Lista Movimenti'!$E:$E, "Spesa", 'Lista Movimenti'!$D:$D, "&gt;=01/02/2026", 'Lista Movimenti'!$D:$D, "&lt;=28/02/2026")</f>
        <v>0</v>
      </c>
      <c r="D16" s="39">
        <v>40.0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ht="22.5" customHeight="1">
      <c r="A17" s="38"/>
      <c r="B17" s="28" t="s">
        <v>19</v>
      </c>
      <c r="C17" s="33">
        <f>SUMIFS('Lista Movimenti'!$C:$C, 'Lista Movimenti'!$B:$B, $B17, 'Lista Movimenti'!$E:$E, "Spesa", 'Lista Movimenti'!$D:$D, "&gt;=01/02/2026", 'Lista Movimenti'!$D:$D, "&lt;=28/02/2026")</f>
        <v>0</v>
      </c>
      <c r="D17" s="39">
        <v>15.0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ht="22.5" customHeight="1">
      <c r="A18" s="38"/>
      <c r="B18" s="28" t="s">
        <v>22</v>
      </c>
      <c r="C18" s="33">
        <f>SUMIFS('Lista Movimenti'!$C:$C, 'Lista Movimenti'!$B:$B, $B18, 'Lista Movimenti'!$E:$E, "Spesa", 'Lista Movimenti'!$D:$D, "&gt;=01/02/2026", 'Lista Movimenti'!$D:$D, "&lt;=28/02/2026")</f>
        <v>0</v>
      </c>
      <c r="D18" s="39">
        <v>45.0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ht="22.5" customHeight="1">
      <c r="A19" s="38"/>
      <c r="B19" s="28" t="s">
        <v>16</v>
      </c>
      <c r="C19" s="33">
        <f>SUMIFS('Lista Movimenti'!$C:$C, 'Lista Movimenti'!$B:$B, $B19, 'Lista Movimenti'!$E:$E, "Spesa", 'Lista Movimenti'!$D:$D, "&gt;=01/02/2026", 'Lista Movimenti'!$D:$D, "&lt;=28/02/2026")</f>
        <v>0</v>
      </c>
      <c r="D19" s="39">
        <v>35.0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ht="22.5" customHeight="1">
      <c r="A20" s="41" t="s">
        <v>42</v>
      </c>
      <c r="B20" s="42" t="s">
        <v>43</v>
      </c>
      <c r="C20" s="43">
        <f t="shared" ref="C20:D20" si="1">SUM(C13:C19)</f>
        <v>780</v>
      </c>
      <c r="D20" s="43">
        <f t="shared" si="1"/>
        <v>665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ht="22.5" customHeight="1">
      <c r="A21" s="38"/>
      <c r="B21" s="31"/>
      <c r="C21" s="33"/>
      <c r="D21" s="33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ht="22.5" customHeight="1">
      <c r="A22" s="45" t="s">
        <v>44</v>
      </c>
      <c r="B22" s="46" t="s">
        <v>45</v>
      </c>
      <c r="C22" s="47" t="s">
        <v>51</v>
      </c>
      <c r="D22" s="47" t="s">
        <v>38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22.5" customHeight="1">
      <c r="A23" s="38"/>
      <c r="B23" s="28" t="s">
        <v>12</v>
      </c>
      <c r="C23" s="33">
        <f>SUMIFS('Lista Movimenti'!$C:$C, 'Lista Movimenti'!$B:$B, $B23, 'Lista Movimenti'!$E:$E, "Spesa", 'Lista Movimenti'!$D:$D, "&gt;=01/02/2026", 'Lista Movimenti'!$D:$D, "&lt;=28/02/2026")</f>
        <v>0</v>
      </c>
      <c r="D23" s="39">
        <v>22.0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ht="22.5" customHeight="1">
      <c r="A24" s="38"/>
      <c r="B24" s="28" t="s">
        <v>8</v>
      </c>
      <c r="C24" s="33">
        <f>SUMIFS('Lista Movimenti'!$C:$C, 'Lista Movimenti'!$B:$B, $B24, 'Lista Movimenti'!$E:$E, "Spesa", 'Lista Movimenti'!$D:$D, "&gt;=01/02/2026", 'Lista Movimenti'!$D:$D, "&lt;=28/02/2026")</f>
        <v>79</v>
      </c>
      <c r="D24" s="39">
        <v>85.0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ht="22.5" customHeight="1">
      <c r="A25" s="38"/>
      <c r="B25" s="28" t="s">
        <v>13</v>
      </c>
      <c r="C25" s="33">
        <f>SUMIFS('Lista Movimenti'!$C:$C, 'Lista Movimenti'!$B:$B, $B25, 'Lista Movimenti'!$E:$E, "Spesa", 'Lista Movimenti'!$D:$D, "&gt;=01/02/2026", 'Lista Movimenti'!$D:$D, "&lt;=28/02/2026")</f>
        <v>0</v>
      </c>
      <c r="D25" s="39">
        <v>24.0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ht="22.5" customHeight="1">
      <c r="A26" s="38"/>
      <c r="B26" s="28" t="s">
        <v>11</v>
      </c>
      <c r="C26" s="33">
        <f>SUMIFS('Lista Movimenti'!$C:$C, 'Lista Movimenti'!$B:$B, $B26, 'Lista Movimenti'!$E:$E, "Spesa", 'Lista Movimenti'!$D:$D, "&gt;=01/02/2026", 'Lista Movimenti'!$D:$D, "&lt;=28/02/2026")</f>
        <v>0</v>
      </c>
      <c r="D26" s="39">
        <v>20.0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ht="22.5" customHeight="1">
      <c r="A27" s="38"/>
      <c r="B27" s="28" t="s">
        <v>5</v>
      </c>
      <c r="C27" s="33">
        <f>SUMIFS('Lista Movimenti'!$C:$C, 'Lista Movimenti'!$B:$B, $B27, 'Lista Movimenti'!$E:$E, "Spesa", 'Lista Movimenti'!$D:$D, "&gt;=01/02/2026", 'Lista Movimenti'!$D:$D, "&lt;=28/02/2026")</f>
        <v>0</v>
      </c>
      <c r="D27" s="39">
        <v>60.0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ht="22.5" customHeight="1">
      <c r="A28" s="38"/>
      <c r="B28" s="28" t="s">
        <v>18</v>
      </c>
      <c r="C28" s="33">
        <f>SUMIFS('Lista Movimenti'!$C:$C, 'Lista Movimenti'!$B:$B, $B28, 'Lista Movimenti'!$E:$E, "Spesa", 'Lista Movimenti'!$D:$D, "&gt;=01/02/2026", 'Lista Movimenti'!$D:$D, "&lt;=28/02/2026")</f>
        <v>0</v>
      </c>
      <c r="D28" s="39">
        <v>40.0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ht="22.5" customHeight="1">
      <c r="A29" s="38"/>
      <c r="B29" s="28" t="s">
        <v>17</v>
      </c>
      <c r="C29" s="33">
        <f>SUMIFS('Lista Movimenti'!$C:$C, 'Lista Movimenti'!$B:$B, $B29, 'Lista Movimenti'!$E:$E, "Spesa", 'Lista Movimenti'!$D:$D, "&gt;=01/02/2026", 'Lista Movimenti'!$D:$D, "&lt;=28/02/2026")</f>
        <v>0</v>
      </c>
      <c r="D29" s="39">
        <v>95.0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ht="22.5" customHeight="1">
      <c r="A30" s="38"/>
      <c r="B30" s="28" t="s">
        <v>7</v>
      </c>
      <c r="C30" s="33">
        <f>SUMIFS('Lista Movimenti'!$C:$C, 'Lista Movimenti'!$B:$B, $B30, 'Lista Movimenti'!$E:$E, "Spesa", 'Lista Movimenti'!$D:$D, "&gt;=01/02/2026", 'Lista Movimenti'!$D:$D, "&lt;=28/02/2026")</f>
        <v>112</v>
      </c>
      <c r="D30" s="39">
        <v>13.0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ht="22.5" customHeight="1">
      <c r="A31" s="45" t="s">
        <v>46</v>
      </c>
      <c r="B31" s="46" t="s">
        <v>45</v>
      </c>
      <c r="C31" s="48">
        <f t="shared" ref="C31:D31" si="2">SUM(C23:C30)</f>
        <v>191</v>
      </c>
      <c r="D31" s="48">
        <f t="shared" si="2"/>
        <v>359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ht="22.5" customHeight="1">
      <c r="A32" s="38"/>
      <c r="B32" s="31"/>
      <c r="C32" s="33"/>
      <c r="D32" s="33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ht="22.5" customHeight="1">
      <c r="A33" s="50" t="s">
        <v>47</v>
      </c>
      <c r="B33" s="51"/>
      <c r="C33" s="52">
        <f t="shared" ref="C33:D33" si="3">(C31 + C20)</f>
        <v>971</v>
      </c>
      <c r="D33" s="52">
        <f t="shared" si="3"/>
        <v>1024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ht="22.5" customHeight="1">
      <c r="A34" s="32" t="s">
        <v>48</v>
      </c>
      <c r="B34" s="31"/>
      <c r="C34" s="33">
        <f>(B8-C33)</f>
        <v>429</v>
      </c>
      <c r="D34" s="33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>
      <c r="A35" s="19"/>
      <c r="B35" s="55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>
      <c r="A36" s="17"/>
      <c r="B36" s="18"/>
      <c r="C36" s="17"/>
      <c r="D36" s="17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ht="22.5" customHeight="1">
      <c r="A37" s="23" t="s">
        <v>1</v>
      </c>
      <c r="B37" s="22" t="s">
        <v>51</v>
      </c>
      <c r="C37" s="23" t="s">
        <v>38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22.5" customHeight="1">
      <c r="A38" s="28" t="s">
        <v>15</v>
      </c>
      <c r="B38" s="33">
        <f>SUMIFS('Lista Movimenti'!$C:$C, 'Lista Movimenti'!$B:$B, $A38, 'Lista Movimenti'!$E:$E, "Risparmio", 'Lista Movimenti'!$D:$D, "&gt;=01/02/2026", 'Lista Movimenti'!$D:$D, "&lt;=28/02/2026")</f>
        <v>0</v>
      </c>
      <c r="C38" s="33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22.5" customHeight="1">
      <c r="A39" s="28" t="s">
        <v>10</v>
      </c>
      <c r="B39" s="33">
        <f>SUMIFS('Lista Movimenti'!$C:$C, 'Lista Movimenti'!$B:$B, $A39, 'Lista Movimenti'!$E:$E, "Risparmio", 'Lista Movimenti'!$D:$D, "&gt;=01/02/2026", 'Lista Movimenti'!$D:$D, "&lt;=28/02/2026")</f>
        <v>0</v>
      </c>
      <c r="C39" s="33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22.5" customHeight="1">
      <c r="A40" s="28" t="s">
        <v>23</v>
      </c>
      <c r="B40" s="33">
        <f>SUMIFS('Lista Movimenti'!$C:$C, 'Lista Movimenti'!$B:$B, $A40, 'Lista Movimenti'!$E:$E, "Risparmio", 'Lista Movimenti'!$D:$D, "&gt;=01/02/2026", 'Lista Movimenti'!$D:$D, "&lt;=28/02/2026")</f>
        <v>0</v>
      </c>
      <c r="C40" s="33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22.5" customHeight="1">
      <c r="A41" s="28" t="s">
        <v>14</v>
      </c>
      <c r="B41" s="33">
        <f>SUMIFS('Lista Movimenti'!$C:$C, 'Lista Movimenti'!$B:$B, $A41, 'Lista Movimenti'!$E:$E, "Risparmio", 'Lista Movimenti'!$D:$D, "&gt;=01/02/2026", 'Lista Movimenti'!$D:$D, "&lt;=28/02/2026")</f>
        <v>0</v>
      </c>
      <c r="C41" s="33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22.5" customHeight="1">
      <c r="A42" s="28" t="s">
        <v>19</v>
      </c>
      <c r="B42" s="33">
        <f>SUMIFS('Lista Movimenti'!$C:$C, 'Lista Movimenti'!$B:$B, $A42, 'Lista Movimenti'!$E:$E, "Risparmio", 'Lista Movimenti'!$D:$D, "&gt;=01/02/2026", 'Lista Movimenti'!$D:$D, "&lt;=28/02/2026")</f>
        <v>0</v>
      </c>
      <c r="C42" s="33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22.5" customHeight="1">
      <c r="A43" s="28" t="s">
        <v>22</v>
      </c>
      <c r="B43" s="33">
        <f>SUMIFS('Lista Movimenti'!$C:$C, 'Lista Movimenti'!$B:$B, $A43, 'Lista Movimenti'!$E:$E, "Risparmio", 'Lista Movimenti'!$D:$D, "&gt;=01/02/2026", 'Lista Movimenti'!$D:$D, "&lt;=28/02/2026")</f>
        <v>0</v>
      </c>
      <c r="C43" s="33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22.5" customHeight="1">
      <c r="A44" s="28" t="s">
        <v>16</v>
      </c>
      <c r="B44" s="33">
        <f>SUMIFS('Lista Movimenti'!$C:$C, 'Lista Movimenti'!$B:$B, $A44, 'Lista Movimenti'!$E:$E, "Risparmio", 'Lista Movimenti'!$D:$D, "&gt;=01/02/2026", 'Lista Movimenti'!$D:$D, "&lt;=28/02/2026")</f>
        <v>0</v>
      </c>
      <c r="C44" s="33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22.5" customHeight="1">
      <c r="A45" s="28" t="s">
        <v>12</v>
      </c>
      <c r="B45" s="33">
        <f>SUMIFS('Lista Movimenti'!$C:$C, 'Lista Movimenti'!$B:$B, $A45, 'Lista Movimenti'!$E:$E, "Risparmio", 'Lista Movimenti'!$D:$D, "&gt;=01/02/2026", 'Lista Movimenti'!$D:$D, "&lt;=28/02/2026")</f>
        <v>0</v>
      </c>
      <c r="C45" s="33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22.5" customHeight="1">
      <c r="A46" s="28" t="s">
        <v>8</v>
      </c>
      <c r="B46" s="33">
        <f>SUMIFS('Lista Movimenti'!$C:$C, 'Lista Movimenti'!$B:$B, $A46, 'Lista Movimenti'!$E:$E, "Risparmio", 'Lista Movimenti'!$D:$D, "&gt;=01/02/2026", 'Lista Movimenti'!$D:$D, "&lt;=28/02/2026")</f>
        <v>0</v>
      </c>
      <c r="C46" s="33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22.5" customHeight="1">
      <c r="A47" s="28" t="s">
        <v>13</v>
      </c>
      <c r="B47" s="33">
        <f>SUMIFS('Lista Movimenti'!$C:$C, 'Lista Movimenti'!$B:$B, $A47, 'Lista Movimenti'!$E:$E, "Risparmio", 'Lista Movimenti'!$D:$D, "&gt;=01/02/2026", 'Lista Movimenti'!$D:$D, "&lt;=28/02/2026")</f>
        <v>0</v>
      </c>
      <c r="C47" s="33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22.5" customHeight="1">
      <c r="A48" s="28" t="s">
        <v>11</v>
      </c>
      <c r="B48" s="33">
        <f>SUMIFS('Lista Movimenti'!$C:$C, 'Lista Movimenti'!$B:$B, $A48, 'Lista Movimenti'!$E:$E, "Risparmio", 'Lista Movimenti'!$D:$D, "&gt;=01/02/2026", 'Lista Movimenti'!$D:$D, "&lt;=28/02/2026")</f>
        <v>0</v>
      </c>
      <c r="C48" s="33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22.5" customHeight="1">
      <c r="A49" s="28" t="s">
        <v>5</v>
      </c>
      <c r="B49" s="33">
        <f>SUMIFS('Lista Movimenti'!$C:$C, 'Lista Movimenti'!$B:$B, $A49, 'Lista Movimenti'!$E:$E, "Risparmio", 'Lista Movimenti'!$D:$D, "&gt;=01/02/2026", 'Lista Movimenti'!$D:$D, "&lt;=28/02/2026")</f>
        <v>200</v>
      </c>
      <c r="C49" s="33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22.5" customHeight="1">
      <c r="A50" s="28" t="s">
        <v>18</v>
      </c>
      <c r="B50" s="33">
        <f>SUMIFS('Lista Movimenti'!$C:$C, 'Lista Movimenti'!$B:$B, $A50, 'Lista Movimenti'!$E:$E, "Risparmio", 'Lista Movimenti'!$D:$D, "&gt;=01/02/2026", 'Lista Movimenti'!$D:$D, "&lt;=28/02/2026")</f>
        <v>0</v>
      </c>
      <c r="C50" s="33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22.5" customHeight="1">
      <c r="A51" s="28" t="s">
        <v>17</v>
      </c>
      <c r="B51" s="33">
        <f>SUMIFS('Lista Movimenti'!$C:$C, 'Lista Movimenti'!$B:$B, $A51, 'Lista Movimenti'!$E:$E, "Risparmio", 'Lista Movimenti'!$D:$D, "&gt;=01/02/2026", 'Lista Movimenti'!$D:$D, "&lt;=28/02/2026")</f>
        <v>0</v>
      </c>
      <c r="C51" s="33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22.5" customHeight="1">
      <c r="A52" s="28" t="s">
        <v>7</v>
      </c>
      <c r="B52" s="33">
        <f>SUMIFS('Lista Movimenti'!$C:$C, 'Lista Movimenti'!$B:$B, $A52, 'Lista Movimenti'!$E:$E, "Risparmio", 'Lista Movimenti'!$D:$D, "&gt;=01/02/2026", 'Lista Movimenti'!$D:$D, "&lt;=28/02/2026")</f>
        <v>0</v>
      </c>
      <c r="C52" s="33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22.5" customHeight="1">
      <c r="A53" s="28" t="s">
        <v>20</v>
      </c>
      <c r="B53" s="33">
        <f>SUMIFS('Lista Movimenti'!$C:$C, 'Lista Movimenti'!$B:$B, $A53, 'Lista Movimenti'!$E:$E, "Risparmio", 'Lista Movimenti'!$D:$D, "&gt;=01/02/2026", 'Lista Movimenti'!$D:$D, "&lt;=28/02/2026")</f>
        <v>0</v>
      </c>
      <c r="C53" s="33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22.5" customHeight="1">
      <c r="A54" s="28" t="s">
        <v>21</v>
      </c>
      <c r="B54" s="33">
        <f>SUMIFS('Lista Movimenti'!$C:$C, 'Lista Movimenti'!$B:$B, $A54, 'Lista Movimenti'!$E:$E, "Risparmio", 'Lista Movimenti'!$D:$D, "&gt;=01/02/2026", 'Lista Movimenti'!$D:$D, "&lt;=28/02/2026")</f>
        <v>0</v>
      </c>
      <c r="C54" s="33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22.5" customHeight="1">
      <c r="A55" s="32" t="s">
        <v>49</v>
      </c>
      <c r="B55" s="33">
        <f>SUM(Risparmi_2[Totale])</f>
        <v>200</v>
      </c>
      <c r="C55" s="33">
        <f>SUM(Risparmi_2[Obiettivo])</f>
        <v>0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56">
        <v>0.0</v>
      </c>
      <c r="T55" s="19"/>
      <c r="U55" s="19"/>
      <c r="V55" s="19"/>
      <c r="W55" s="19"/>
    </row>
  </sheetData>
  <conditionalFormatting sqref="C34">
    <cfRule type="cellIs" dxfId="9" priority="1" operator="greaterThan">
      <formula>0</formula>
    </cfRule>
  </conditionalFormatting>
  <conditionalFormatting sqref="C34">
    <cfRule type="cellIs" dxfId="10" priority="2" operator="lessThan">
      <formula>0</formula>
    </cfRule>
  </conditionalFormatting>
  <conditionalFormatting sqref="D34 A34:B34">
    <cfRule type="expression" dxfId="11" priority="3">
      <formula>$C34&gt;0</formula>
    </cfRule>
  </conditionalFormatting>
  <conditionalFormatting sqref="D34 A34:B34">
    <cfRule type="expression" dxfId="12" priority="4">
      <formula>$C34&lt;0</formula>
    </cfRule>
  </conditionalFormatting>
  <conditionalFormatting sqref="P6">
    <cfRule type="notContainsBlanks" dxfId="13" priority="5">
      <formula>LEN(TRIM(P6))&gt;0</formula>
    </cfRule>
  </conditionalFormatting>
  <dataValidations>
    <dataValidation type="list" allowBlank="1" sqref="A4:A7">
      <formula1>#REF!</formula1>
    </dataValidation>
    <dataValidation type="custom" allowBlank="1" showDropDown="1" sqref="B4:C7 C13:D34 B38:C54">
      <formula1>AND(ISNUMBER(B4),(NOT(OR(NOT(ISERROR(DATEVALUE(B4))), AND(ISNUMBER(B4), LEFT(CELL("format", B4))="D")))))</formula1>
    </dataValidation>
    <dataValidation type="list" allowBlank="1" sqref="B13:B34 A38:A54">
      <formula1>#REF!</formula1>
    </dataValidation>
  </dataValidations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25"/>
    <col customWidth="1" min="2" max="2" width="25.38"/>
    <col customWidth="1" min="3" max="3" width="16.25"/>
    <col customWidth="1" min="4" max="4" width="17.0"/>
  </cols>
  <sheetData>
    <row r="1" ht="108.0" customHeight="1">
      <c r="A1" s="14" t="s">
        <v>50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>
      <c r="A2" s="17"/>
      <c r="B2" s="18"/>
      <c r="C2" s="17"/>
      <c r="D2" s="19"/>
      <c r="E2" s="19"/>
      <c r="F2" s="20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ht="22.5" customHeight="1">
      <c r="A3" s="21" t="s">
        <v>1</v>
      </c>
      <c r="B3" s="22" t="s">
        <v>51</v>
      </c>
      <c r="C3" s="23" t="s">
        <v>38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ht="22.5" customHeight="1">
      <c r="A4" s="24" t="s">
        <v>20</v>
      </c>
      <c r="B4" s="25">
        <f>SUMIFS('Lista Movimenti'!$C:$C, 'Lista Movimenti'!$B:$B, $A4, 'Lista Movimenti'!$D:$D, "&gt;="&amp;DATE(2026,3,1), 'Lista Movimenti'!$D:$D, "&lt;="&amp;DATE(2026,3,31))</f>
        <v>1500</v>
      </c>
      <c r="C4" s="5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ht="22.5" customHeight="1">
      <c r="A5" s="28" t="s">
        <v>21</v>
      </c>
      <c r="B5" s="25">
        <f>SUMIFS('Lista Movimenti'!$C:$C, 'Lista Movimenti'!$B:$B, $A5, 'Lista Movimenti'!$D:$D, "&gt;="&amp;DATE(2026,3,1), 'Lista Movimenti'!$D:$D, "&lt;="&amp;DATE(2026,3,31))</f>
        <v>10</v>
      </c>
      <c r="C5" s="33"/>
      <c r="D5" s="19"/>
      <c r="E5" s="17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ht="22.5" customHeight="1">
      <c r="A6" s="31"/>
      <c r="B6" s="25">
        <f>SUMIFS('Lista Movimenti'!$C:$C, 'Lista Movimenti'!$B:$B, $A6, 'Lista Movimenti'!$D:$D, "&gt;="&amp;DATE(2026,3,1), 'Lista Movimenti'!$D:$D, "&lt;="&amp;DATE(2026,3,31))</f>
        <v>0</v>
      </c>
      <c r="C6" s="33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ht="22.5" customHeight="1">
      <c r="A7" s="31"/>
      <c r="B7" s="25">
        <f>SUMIFS('Lista Movimenti'!$C:$C, 'Lista Movimenti'!$B:$B, $A7, 'Lista Movimenti'!$D:$D, "&gt;="&amp;DATE(2026,3,1), 'Lista Movimenti'!$D:$D, "&lt;="&amp;DATE(2026,3,31))</f>
        <v>0</v>
      </c>
      <c r="C7" s="33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22.5" customHeight="1">
      <c r="A8" s="60"/>
      <c r="B8" s="61">
        <f>SUM(Entrate_Mar[Totale])</f>
        <v>1510</v>
      </c>
      <c r="C8" s="61">
        <f>SUM(Entrate_Mar[Obiettivo])</f>
        <v>0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>
      <c r="A9" s="19"/>
      <c r="B9" s="35"/>
      <c r="C9" s="36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>
      <c r="A10" s="37"/>
      <c r="B10" s="37"/>
      <c r="C10" s="37"/>
      <c r="D10" s="17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>
      <c r="A11" s="37"/>
      <c r="B11" s="37"/>
      <c r="C11" s="37"/>
      <c r="D11" s="17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ht="22.5" customHeight="1">
      <c r="A12" s="23" t="s">
        <v>41</v>
      </c>
      <c r="B12" s="22" t="s">
        <v>1</v>
      </c>
      <c r="C12" s="23" t="s">
        <v>51</v>
      </c>
      <c r="D12" s="23" t="s">
        <v>38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ht="22.5" customHeight="1">
      <c r="A13" s="38"/>
      <c r="B13" s="28" t="s">
        <v>15</v>
      </c>
      <c r="C13" s="33">
        <f>SUMIFS('Lista Movimenti'!$C:$C, 'Lista Movimenti'!$B:$B, $B13, 'Lista Movimenti'!$E:$E, "Spesa", 'Lista Movimenti'!$D:$D, "&gt;=01/03/2026", 'Lista Movimenti'!$D:$D, "&lt;=31/03/2026")</f>
        <v>0</v>
      </c>
      <c r="D13" s="39">
        <v>200.0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ht="22.5" customHeight="1">
      <c r="A14" s="38"/>
      <c r="B14" s="28" t="s">
        <v>10</v>
      </c>
      <c r="C14" s="33">
        <f>SUMIFS('Lista Movimenti'!$C:$C, 'Lista Movimenti'!$B:$B, $B14, 'Lista Movimenti'!$E:$E, "Spesa", 'Lista Movimenti'!$D:$D, "&gt;=01/03/2026", 'Lista Movimenti'!$D:$D, "&lt;=31/03/2026")</f>
        <v>0</v>
      </c>
      <c r="D14" s="39">
        <v>280.0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ht="22.5" customHeight="1">
      <c r="A15" s="38"/>
      <c r="B15" s="28" t="s">
        <v>23</v>
      </c>
      <c r="C15" s="33">
        <f>SUMIFS('Lista Movimenti'!$C:$C, 'Lista Movimenti'!$B:$B, $B15, 'Lista Movimenti'!$E:$E, "Spesa", 'Lista Movimenti'!$D:$D, "&gt;=01/03/2026", 'Lista Movimenti'!$D:$D, "&lt;=31/03/2026")</f>
        <v>0</v>
      </c>
      <c r="D15" s="39">
        <v>50.0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ht="22.5" customHeight="1">
      <c r="A16" s="38"/>
      <c r="B16" s="28" t="s">
        <v>14</v>
      </c>
      <c r="C16" s="33">
        <f>SUMIFS('Lista Movimenti'!$C:$C, 'Lista Movimenti'!$B:$B, $B16, 'Lista Movimenti'!$E:$E, "Spesa", 'Lista Movimenti'!$D:$D, "&gt;=01/03/2026", 'Lista Movimenti'!$D:$D, "&lt;=31/03/2026")</f>
        <v>0</v>
      </c>
      <c r="D16" s="39">
        <v>40.0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ht="22.5" customHeight="1">
      <c r="A17" s="38"/>
      <c r="B17" s="28" t="s">
        <v>19</v>
      </c>
      <c r="C17" s="33">
        <f>SUMIFS('Lista Movimenti'!$C:$C, 'Lista Movimenti'!$B:$B, $B17, 'Lista Movimenti'!$E:$E, "Spesa", 'Lista Movimenti'!$D:$D, "&gt;=01/03/2026", 'Lista Movimenti'!$D:$D, "&lt;=31/03/2026")</f>
        <v>0</v>
      </c>
      <c r="D17" s="39">
        <v>15.0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ht="22.5" customHeight="1">
      <c r="A18" s="38"/>
      <c r="B18" s="28" t="s">
        <v>22</v>
      </c>
      <c r="C18" s="33">
        <f>SUMIFS('Lista Movimenti'!$C:$C, 'Lista Movimenti'!$B:$B, $B18, 'Lista Movimenti'!$E:$E, "Spesa", 'Lista Movimenti'!$D:$D, "&gt;=01/03/2026", 'Lista Movimenti'!$D:$D, "&lt;=31/03/2026")</f>
        <v>0</v>
      </c>
      <c r="D18" s="39">
        <v>45.0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ht="22.5" customHeight="1">
      <c r="A19" s="38"/>
      <c r="B19" s="28" t="s">
        <v>16</v>
      </c>
      <c r="C19" s="33">
        <f>SUMIFS('Lista Movimenti'!$C:$C, 'Lista Movimenti'!$B:$B, $B19, 'Lista Movimenti'!$E:$E, "Spesa", 'Lista Movimenti'!$D:$D, "&gt;=01/03/2026", 'Lista Movimenti'!$D:$D, "&lt;=31/03/2026")</f>
        <v>0</v>
      </c>
      <c r="D19" s="39">
        <v>35.0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ht="22.5" customHeight="1">
      <c r="A20" s="41" t="s">
        <v>42</v>
      </c>
      <c r="B20" s="42" t="s">
        <v>43</v>
      </c>
      <c r="C20" s="43">
        <f t="shared" ref="C20:D20" si="1">SUM(C13:C19)</f>
        <v>0</v>
      </c>
      <c r="D20" s="43">
        <f t="shared" si="1"/>
        <v>665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ht="22.5" customHeight="1">
      <c r="A21" s="38"/>
      <c r="B21" s="31"/>
      <c r="C21" s="33"/>
      <c r="D21" s="33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ht="22.5" customHeight="1">
      <c r="A22" s="45" t="s">
        <v>44</v>
      </c>
      <c r="B22" s="46" t="s">
        <v>45</v>
      </c>
      <c r="C22" s="47" t="s">
        <v>51</v>
      </c>
      <c r="D22" s="47" t="s">
        <v>38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22.5" customHeight="1">
      <c r="A23" s="38"/>
      <c r="B23" s="28" t="s">
        <v>12</v>
      </c>
      <c r="C23" s="39">
        <f>SUMIFS('Lista Movimenti'!$C:$C, 'Lista Movimenti'!$B:$B, $B23, 'Lista Movimenti'!$E:$E, "Spesa", 'Lista Movimenti'!$D:$D, "&gt;=01/03/2026", 'Lista Movimenti'!$D:$D, "&lt;=31/03/2026")</f>
        <v>0</v>
      </c>
      <c r="D23" s="39">
        <v>22.0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ht="22.5" customHeight="1">
      <c r="A24" s="38"/>
      <c r="B24" s="28" t="s">
        <v>8</v>
      </c>
      <c r="C24" s="39">
        <f>SUMIFS('Lista Movimenti'!$C:$C, 'Lista Movimenti'!$B:$B, $B24, 'Lista Movimenti'!$E:$E, "Spesa", 'Lista Movimenti'!$D:$D, "&gt;=01/03/2026", 'Lista Movimenti'!$D:$D, "&lt;=31/03/2026")</f>
        <v>0</v>
      </c>
      <c r="D24" s="39">
        <v>85.0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ht="22.5" customHeight="1">
      <c r="A25" s="38"/>
      <c r="B25" s="28" t="s">
        <v>13</v>
      </c>
      <c r="C25" s="39">
        <f>SUMIFS('Lista Movimenti'!$C:$C, 'Lista Movimenti'!$B:$B, $B25, 'Lista Movimenti'!$E:$E, "Spesa", 'Lista Movimenti'!$D:$D, "&gt;=01/03/2026", 'Lista Movimenti'!$D:$D, "&lt;=31/03/2026")</f>
        <v>0</v>
      </c>
      <c r="D25" s="39">
        <v>24.0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ht="22.5" customHeight="1">
      <c r="A26" s="38"/>
      <c r="B26" s="28" t="s">
        <v>11</v>
      </c>
      <c r="C26" s="39">
        <f>SUMIFS('Lista Movimenti'!$C:$C, 'Lista Movimenti'!$B:$B, $B26, 'Lista Movimenti'!$E:$E, "Spesa", 'Lista Movimenti'!$D:$D, "&gt;=01/03/2026", 'Lista Movimenti'!$D:$D, "&lt;=31/03/2026")</f>
        <v>0</v>
      </c>
      <c r="D26" s="39">
        <v>20.0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ht="22.5" customHeight="1">
      <c r="A27" s="38"/>
      <c r="B27" s="28" t="s">
        <v>5</v>
      </c>
      <c r="C27" s="39">
        <f>SUMIFS('Lista Movimenti'!$C:$C, 'Lista Movimenti'!$B:$B, $B27, 'Lista Movimenti'!$E:$E, "Spesa", 'Lista Movimenti'!$D:$D, "&gt;=01/03/2026", 'Lista Movimenti'!$D:$D, "&lt;=31/03/2026")</f>
        <v>350</v>
      </c>
      <c r="D27" s="39">
        <v>60.0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ht="22.5" customHeight="1">
      <c r="A28" s="38"/>
      <c r="B28" s="28" t="s">
        <v>18</v>
      </c>
      <c r="C28" s="39">
        <f>SUMIFS('Lista Movimenti'!$C:$C, 'Lista Movimenti'!$B:$B, $B28, 'Lista Movimenti'!$E:$E, "Spesa", 'Lista Movimenti'!$D:$D, "&gt;=01/03/2026", 'Lista Movimenti'!$D:$D, "&lt;=31/03/2026")</f>
        <v>0</v>
      </c>
      <c r="D28" s="39">
        <v>40.0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ht="22.5" customHeight="1">
      <c r="A29" s="38"/>
      <c r="B29" s="28" t="s">
        <v>17</v>
      </c>
      <c r="C29" s="39">
        <f>SUMIFS('Lista Movimenti'!$C:$C, 'Lista Movimenti'!$B:$B, $B29, 'Lista Movimenti'!$E:$E, "Spesa", 'Lista Movimenti'!$D:$D, "&gt;=01/03/2026", 'Lista Movimenti'!$D:$D, "&lt;=31/03/2026")</f>
        <v>30</v>
      </c>
      <c r="D29" s="39">
        <v>95.0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ht="22.5" customHeight="1">
      <c r="A30" s="38"/>
      <c r="B30" s="28" t="s">
        <v>7</v>
      </c>
      <c r="C30" s="39">
        <f>SUMIFS('Lista Movimenti'!$C:$C, 'Lista Movimenti'!$B:$B, $B30, 'Lista Movimenti'!$E:$E, "Spesa", 'Lista Movimenti'!$D:$D, "&gt;=01/03/2026", 'Lista Movimenti'!$D:$D, "&lt;=31/03/2026")</f>
        <v>0</v>
      </c>
      <c r="D30" s="39">
        <v>13.0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ht="22.5" customHeight="1">
      <c r="A31" s="45" t="s">
        <v>46</v>
      </c>
      <c r="B31" s="46" t="s">
        <v>45</v>
      </c>
      <c r="C31" s="48">
        <f t="shared" ref="C31:D31" si="2">SUM(C23:C30)</f>
        <v>380</v>
      </c>
      <c r="D31" s="48">
        <f t="shared" si="2"/>
        <v>359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ht="22.5" customHeight="1">
      <c r="A32" s="38"/>
      <c r="B32" s="31"/>
      <c r="C32" s="33"/>
      <c r="D32" s="33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ht="22.5" customHeight="1">
      <c r="A33" s="50" t="s">
        <v>47</v>
      </c>
      <c r="B33" s="51"/>
      <c r="C33" s="52">
        <f t="shared" ref="C33:D33" si="3">(C31 + C20)</f>
        <v>380</v>
      </c>
      <c r="D33" s="52">
        <f t="shared" si="3"/>
        <v>1024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ht="22.5" customHeight="1">
      <c r="A34" s="32" t="s">
        <v>48</v>
      </c>
      <c r="B34" s="31"/>
      <c r="C34" s="33">
        <f>(B8-C33)</f>
        <v>1130</v>
      </c>
      <c r="D34" s="33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>
      <c r="A35" s="19"/>
      <c r="B35" s="55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>
      <c r="A36" s="17"/>
      <c r="B36" s="18"/>
      <c r="C36" s="17"/>
      <c r="D36" s="17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ht="22.5" customHeight="1">
      <c r="A37" s="23" t="s">
        <v>1</v>
      </c>
      <c r="B37" s="22" t="s">
        <v>51</v>
      </c>
      <c r="C37" s="23" t="s">
        <v>38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22.5" customHeight="1">
      <c r="A38" s="28" t="s">
        <v>15</v>
      </c>
      <c r="B38" s="33">
        <f>SUMIFS('Lista Movimenti'!$C:$C, 'Lista Movimenti'!$B:$B, $A38, 'Lista Movimenti'!$E:$E, "Risparmio", 'Lista Movimenti'!$D:$D, "&gt;=01/03/2026", 'Lista Movimenti'!$D:$D, "&lt;=31/03/2026")</f>
        <v>0</v>
      </c>
      <c r="C38" s="33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22.5" customHeight="1">
      <c r="A39" s="28" t="s">
        <v>10</v>
      </c>
      <c r="B39" s="33">
        <f>SUMIFS('Lista Movimenti'!$C:$C, 'Lista Movimenti'!$B:$B, $A39, 'Lista Movimenti'!$E:$E, "Risparmio", 'Lista Movimenti'!$D:$D, "&gt;=01/03/2026", 'Lista Movimenti'!$D:$D, "&lt;=31/03/2026")</f>
        <v>0</v>
      </c>
      <c r="C39" s="33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22.5" customHeight="1">
      <c r="A40" s="28" t="s">
        <v>23</v>
      </c>
      <c r="B40" s="33">
        <f>SUMIFS('Lista Movimenti'!$C:$C, 'Lista Movimenti'!$B:$B, $A40, 'Lista Movimenti'!$E:$E, "Risparmio", 'Lista Movimenti'!$D:$D, "&gt;=01/03/2026", 'Lista Movimenti'!$D:$D, "&lt;=31/03/2026")</f>
        <v>0</v>
      </c>
      <c r="C40" s="33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22.5" customHeight="1">
      <c r="A41" s="28" t="s">
        <v>14</v>
      </c>
      <c r="B41" s="33">
        <f>SUMIFS('Lista Movimenti'!$C:$C, 'Lista Movimenti'!$B:$B, $A41, 'Lista Movimenti'!$E:$E, "Risparmio", 'Lista Movimenti'!$D:$D, "&gt;=01/03/2026", 'Lista Movimenti'!$D:$D, "&lt;=31/03/2026")</f>
        <v>0</v>
      </c>
      <c r="C41" s="33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22.5" customHeight="1">
      <c r="A42" s="28" t="s">
        <v>19</v>
      </c>
      <c r="B42" s="33">
        <f>SUMIFS('Lista Movimenti'!$C:$C, 'Lista Movimenti'!$B:$B, $A42, 'Lista Movimenti'!$E:$E, "Risparmio", 'Lista Movimenti'!$D:$D, "&gt;=01/03/2026", 'Lista Movimenti'!$D:$D, "&lt;=31/03/2026")</f>
        <v>0</v>
      </c>
      <c r="C42" s="33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22.5" customHeight="1">
      <c r="A43" s="28" t="s">
        <v>22</v>
      </c>
      <c r="B43" s="33">
        <f>SUMIFS('Lista Movimenti'!$C:$C, 'Lista Movimenti'!$B:$B, $A43, 'Lista Movimenti'!$E:$E, "Risparmio", 'Lista Movimenti'!$D:$D, "&gt;=01/03/2026", 'Lista Movimenti'!$D:$D, "&lt;=31/03/2026")</f>
        <v>0</v>
      </c>
      <c r="C43" s="33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22.5" customHeight="1">
      <c r="A44" s="28" t="s">
        <v>16</v>
      </c>
      <c r="B44" s="33">
        <f>SUMIFS('Lista Movimenti'!$C:$C, 'Lista Movimenti'!$B:$B, $A44, 'Lista Movimenti'!$E:$E, "Risparmio", 'Lista Movimenti'!$D:$D, "&gt;=01/03/2026", 'Lista Movimenti'!$D:$D, "&lt;=31/03/2026")</f>
        <v>0</v>
      </c>
      <c r="C44" s="33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22.5" customHeight="1">
      <c r="A45" s="28" t="s">
        <v>12</v>
      </c>
      <c r="B45" s="33">
        <f>SUMIFS('Lista Movimenti'!$C:$C, 'Lista Movimenti'!$B:$B, $A45, 'Lista Movimenti'!$E:$E, "Risparmio", 'Lista Movimenti'!$D:$D, "&gt;=01/03/2026", 'Lista Movimenti'!$D:$D, "&lt;=31/03/2026")</f>
        <v>0</v>
      </c>
      <c r="C45" s="33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22.5" customHeight="1">
      <c r="A46" s="28" t="s">
        <v>8</v>
      </c>
      <c r="B46" s="33">
        <f>SUMIFS('Lista Movimenti'!$C:$C, 'Lista Movimenti'!$B:$B, $A46, 'Lista Movimenti'!$E:$E, "Risparmio", 'Lista Movimenti'!$D:$D, "&gt;=01/03/2026", 'Lista Movimenti'!$D:$D, "&lt;=31/03/2026")</f>
        <v>0</v>
      </c>
      <c r="C46" s="33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22.5" customHeight="1">
      <c r="A47" s="28" t="s">
        <v>13</v>
      </c>
      <c r="B47" s="33">
        <f>SUMIFS('Lista Movimenti'!$C:$C, 'Lista Movimenti'!$B:$B, $A47, 'Lista Movimenti'!$E:$E, "Risparmio", 'Lista Movimenti'!$D:$D, "&gt;=01/03/2026", 'Lista Movimenti'!$D:$D, "&lt;=31/03/2026")</f>
        <v>0</v>
      </c>
      <c r="C47" s="33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22.5" customHeight="1">
      <c r="A48" s="28" t="s">
        <v>11</v>
      </c>
      <c r="B48" s="33">
        <f>SUMIFS('Lista Movimenti'!$C:$C, 'Lista Movimenti'!$B:$B, $A48, 'Lista Movimenti'!$E:$E, "Risparmio", 'Lista Movimenti'!$D:$D, "&gt;=01/03/2026", 'Lista Movimenti'!$D:$D, "&lt;=31/03/2026")</f>
        <v>0</v>
      </c>
      <c r="C48" s="33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22.5" customHeight="1">
      <c r="A49" s="28" t="s">
        <v>5</v>
      </c>
      <c r="B49" s="33">
        <f>SUMIFS('Lista Movimenti'!$C:$C, 'Lista Movimenti'!$B:$B, $A49, 'Lista Movimenti'!$E:$E, "Risparmio", 'Lista Movimenti'!$D:$D, "&gt;=01/03/2026", 'Lista Movimenti'!$D:$D, "&lt;=31/03/2026")</f>
        <v>0</v>
      </c>
      <c r="C49" s="33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22.5" customHeight="1">
      <c r="A50" s="28" t="s">
        <v>18</v>
      </c>
      <c r="B50" s="33">
        <f>SUMIFS('Lista Movimenti'!$C:$C, 'Lista Movimenti'!$B:$B, $A50, 'Lista Movimenti'!$E:$E, "Risparmio", 'Lista Movimenti'!$D:$D, "&gt;=01/03/2026", 'Lista Movimenti'!$D:$D, "&lt;=31/03/2026")</f>
        <v>0</v>
      </c>
      <c r="C50" s="33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22.5" customHeight="1">
      <c r="A51" s="28" t="s">
        <v>17</v>
      </c>
      <c r="B51" s="33">
        <f>SUMIFS('Lista Movimenti'!$C:$C, 'Lista Movimenti'!$B:$B, $A51, 'Lista Movimenti'!$E:$E, "Risparmio", 'Lista Movimenti'!$D:$D, "&gt;=01/03/2026", 'Lista Movimenti'!$D:$D, "&lt;=31/03/2026")</f>
        <v>0</v>
      </c>
      <c r="C51" s="33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22.5" customHeight="1">
      <c r="A52" s="28" t="s">
        <v>7</v>
      </c>
      <c r="B52" s="33">
        <f>SUMIFS('Lista Movimenti'!$C:$C, 'Lista Movimenti'!$B:$B, $A52, 'Lista Movimenti'!$E:$E, "Risparmio", 'Lista Movimenti'!$D:$D, "&gt;=01/03/2026", 'Lista Movimenti'!$D:$D, "&lt;=31/03/2026")</f>
        <v>0</v>
      </c>
      <c r="C52" s="33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22.5" customHeight="1">
      <c r="A53" s="28" t="s">
        <v>20</v>
      </c>
      <c r="B53" s="33">
        <f>SUMIFS('Lista Movimenti'!$C:$C, 'Lista Movimenti'!$B:$B, $A53, 'Lista Movimenti'!$E:$E, "Risparmio", 'Lista Movimenti'!$D:$D, "&gt;=01/03/2026", 'Lista Movimenti'!$D:$D, "&lt;=31/03/2026")</f>
        <v>0</v>
      </c>
      <c r="C53" s="33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22.5" customHeight="1">
      <c r="A54" s="28" t="s">
        <v>21</v>
      </c>
      <c r="B54" s="33">
        <f>SUMIFS('Lista Movimenti'!$C:$C, 'Lista Movimenti'!$B:$B, $A54, 'Lista Movimenti'!$E:$E, "Risparmio", 'Lista Movimenti'!$D:$D, "&gt;=01/03/2026", 'Lista Movimenti'!$D:$D, "&lt;=31/03/2026")</f>
        <v>0</v>
      </c>
      <c r="C54" s="33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22.5" customHeight="1">
      <c r="A55" s="32" t="s">
        <v>49</v>
      </c>
      <c r="B55" s="33">
        <f>SUM(Risparmi_3[Totale])</f>
        <v>0</v>
      </c>
      <c r="C55" s="33">
        <f>SUM(Risparmi_3[Obiettivo])</f>
        <v>0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56">
        <v>0.0</v>
      </c>
      <c r="T55" s="19"/>
      <c r="U55" s="19"/>
      <c r="V55" s="19"/>
      <c r="W55" s="19"/>
    </row>
  </sheetData>
  <conditionalFormatting sqref="C34">
    <cfRule type="cellIs" dxfId="9" priority="1" operator="greaterThan">
      <formula>0</formula>
    </cfRule>
  </conditionalFormatting>
  <conditionalFormatting sqref="C34">
    <cfRule type="cellIs" dxfId="10" priority="2" operator="lessThan">
      <formula>0</formula>
    </cfRule>
  </conditionalFormatting>
  <conditionalFormatting sqref="D34 A34:B34">
    <cfRule type="expression" dxfId="11" priority="3">
      <formula>$C34&gt;0</formula>
    </cfRule>
  </conditionalFormatting>
  <conditionalFormatting sqref="D34 A34:B34">
    <cfRule type="expression" dxfId="12" priority="4">
      <formula>$C34&lt;0</formula>
    </cfRule>
  </conditionalFormatting>
  <conditionalFormatting sqref="P6">
    <cfRule type="notContainsBlanks" dxfId="13" priority="5">
      <formula>LEN(TRIM(P6))&gt;0</formula>
    </cfRule>
  </conditionalFormatting>
  <dataValidations>
    <dataValidation type="list" allowBlank="1" sqref="A4:A7">
      <formula1>#REF!</formula1>
    </dataValidation>
    <dataValidation type="custom" allowBlank="1" showDropDown="1" sqref="B4:C7 C13:D34 B38:C54">
      <formula1>AND(ISNUMBER(B4),(NOT(OR(NOT(ISERROR(DATEVALUE(B4))), AND(ISNUMBER(B4), LEFT(CELL("format", B4))="D")))))</formula1>
    </dataValidation>
    <dataValidation type="list" allowBlank="1" sqref="B13:B34 A38:A54">
      <formula1>#REF!</formula1>
    </dataValidation>
  </dataValidations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25"/>
    <col customWidth="1" min="2" max="2" width="25.38"/>
    <col customWidth="1" min="3" max="3" width="16.25"/>
    <col customWidth="1" min="4" max="4" width="17.0"/>
  </cols>
  <sheetData>
    <row r="1" ht="108.0" customHeight="1">
      <c r="A1" s="14" t="s">
        <v>50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>
      <c r="A2" s="17"/>
      <c r="B2" s="18"/>
      <c r="C2" s="17"/>
      <c r="D2" s="19"/>
      <c r="E2" s="19"/>
      <c r="F2" s="20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ht="22.5" customHeight="1">
      <c r="A3" s="21" t="s">
        <v>1</v>
      </c>
      <c r="B3" s="22" t="s">
        <v>51</v>
      </c>
      <c r="C3" s="23" t="s">
        <v>38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ht="22.5" customHeight="1">
      <c r="A4" s="24" t="s">
        <v>20</v>
      </c>
      <c r="B4" s="25">
        <f>SUMIFS('Lista Movimenti'!$C:$C, 'Lista Movimenti'!$B:$B, $A4, 'Lista Movimenti'!$D:$D, "&gt;="&amp;DATE(2026,4,1), 'Lista Movimenti'!$D:$D, "&lt;="&amp;DATE(2026,4,30))</f>
        <v>1300</v>
      </c>
      <c r="C4" s="5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ht="22.5" customHeight="1">
      <c r="A5" s="28" t="s">
        <v>21</v>
      </c>
      <c r="B5" s="25">
        <f>SUMIFS('Lista Movimenti'!$C:$C, 'Lista Movimenti'!$B:$B, $A5, 'Lista Movimenti'!$D:$D, "&gt;="&amp;DATE(2026,4,1), 'Lista Movimenti'!$D:$D, "&lt;="&amp;DATE(2026,4,30))</f>
        <v>0</v>
      </c>
      <c r="C5" s="33"/>
      <c r="D5" s="19"/>
      <c r="E5" s="17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ht="22.5" customHeight="1">
      <c r="A6" s="31"/>
      <c r="B6" s="25">
        <f>SUMIFS('Lista Movimenti'!$C:$C, 'Lista Movimenti'!$B:$B, $A6, 'Lista Movimenti'!$D:$D, "&gt;="&amp;DATE(2026,4,1), 'Lista Movimenti'!$D:$D, "&lt;="&amp;DATE(2026,4,30))</f>
        <v>0</v>
      </c>
      <c r="C6" s="33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ht="22.5" customHeight="1">
      <c r="A7" s="31"/>
      <c r="B7" s="25">
        <f>SUMIFS('Lista Movimenti'!$C:$C, 'Lista Movimenti'!$B:$B, $A7, 'Lista Movimenti'!$D:$D, "&gt;="&amp;DATE(2026,4,1), 'Lista Movimenti'!$D:$D, "&lt;="&amp;DATE(2026,4,30))</f>
        <v>0</v>
      </c>
      <c r="C7" s="33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22.5" customHeight="1">
      <c r="A8" s="60"/>
      <c r="B8" s="61">
        <f>SUM(Entrate_Apr[Totale])</f>
        <v>1300</v>
      </c>
      <c r="C8" s="61">
        <f>SUM(Entrate_Apr[Obiettivo])</f>
        <v>0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>
      <c r="A9" s="19"/>
      <c r="B9" s="35"/>
      <c r="C9" s="36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>
      <c r="A10" s="37"/>
      <c r="B10" s="37"/>
      <c r="C10" s="37"/>
      <c r="D10" s="17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>
      <c r="A11" s="37"/>
      <c r="B11" s="37"/>
      <c r="C11" s="37"/>
      <c r="D11" s="17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ht="22.5" customHeight="1">
      <c r="A12" s="23" t="s">
        <v>41</v>
      </c>
      <c r="B12" s="22" t="s">
        <v>1</v>
      </c>
      <c r="C12" s="23" t="s">
        <v>51</v>
      </c>
      <c r="D12" s="23" t="s">
        <v>38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ht="22.5" customHeight="1">
      <c r="A13" s="38"/>
      <c r="B13" s="28" t="s">
        <v>15</v>
      </c>
      <c r="C13" s="33">
        <f>SUMIFS('Lista Movimenti'!$C:$C, 'Lista Movimenti'!$B:$B, $B13, 'Lista Movimenti'!$E:$E, "Spesa", 'Lista Movimenti'!$D:$D, "&gt;=01/04/2026", 'Lista Movimenti'!$D:$D, "&lt;=30/04/2026")</f>
        <v>0</v>
      </c>
      <c r="D13" s="39">
        <v>200.0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ht="22.5" customHeight="1">
      <c r="A14" s="38"/>
      <c r="B14" s="28" t="s">
        <v>10</v>
      </c>
      <c r="C14" s="33">
        <f>SUMIFS('Lista Movimenti'!$C:$C, 'Lista Movimenti'!$B:$B, $B14, 'Lista Movimenti'!$E:$E, "Spesa", 'Lista Movimenti'!$D:$D, "&gt;=01/04/2026", 'Lista Movimenti'!$D:$D, "&lt;=30/04/2026")</f>
        <v>300</v>
      </c>
      <c r="D14" s="39">
        <v>280.0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ht="22.5" customHeight="1">
      <c r="A15" s="38"/>
      <c r="B15" s="28" t="s">
        <v>23</v>
      </c>
      <c r="C15" s="33">
        <f>SUMIFS('Lista Movimenti'!$C:$C, 'Lista Movimenti'!$B:$B, $B15, 'Lista Movimenti'!$E:$E, "Spesa", 'Lista Movimenti'!$D:$D, "&gt;=01/04/2026", 'Lista Movimenti'!$D:$D, "&lt;=30/04/2026")</f>
        <v>0</v>
      </c>
      <c r="D15" s="39">
        <v>50.0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ht="22.5" customHeight="1">
      <c r="A16" s="38"/>
      <c r="B16" s="28" t="s">
        <v>14</v>
      </c>
      <c r="C16" s="33">
        <f>SUMIFS('Lista Movimenti'!$C:$C, 'Lista Movimenti'!$B:$B, $B16, 'Lista Movimenti'!$E:$E, "Spesa", 'Lista Movimenti'!$D:$D, "&gt;=01/04/2026", 'Lista Movimenti'!$D:$D, "&lt;=30/04/2026")</f>
        <v>0</v>
      </c>
      <c r="D16" s="39">
        <v>40.0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ht="22.5" customHeight="1">
      <c r="A17" s="38"/>
      <c r="B17" s="28" t="s">
        <v>19</v>
      </c>
      <c r="C17" s="33">
        <f>SUMIFS('Lista Movimenti'!$C:$C, 'Lista Movimenti'!$B:$B, $B17, 'Lista Movimenti'!$E:$E, "Spesa", 'Lista Movimenti'!$D:$D, "&gt;=01/04/2026", 'Lista Movimenti'!$D:$D, "&lt;=30/04/2026")</f>
        <v>0</v>
      </c>
      <c r="D17" s="39">
        <v>15.0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ht="22.5" customHeight="1">
      <c r="A18" s="38"/>
      <c r="B18" s="28" t="s">
        <v>22</v>
      </c>
      <c r="C18" s="33">
        <f>SUMIFS('Lista Movimenti'!$C:$C, 'Lista Movimenti'!$B:$B, $B18, 'Lista Movimenti'!$E:$E, "Spesa", 'Lista Movimenti'!$D:$D, "&gt;=01/04/2026", 'Lista Movimenti'!$D:$D, "&lt;=30/04/2026")</f>
        <v>0</v>
      </c>
      <c r="D18" s="39">
        <v>45.0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ht="22.5" customHeight="1">
      <c r="A19" s="38"/>
      <c r="B19" s="28" t="s">
        <v>16</v>
      </c>
      <c r="C19" s="33">
        <f>SUMIFS('Lista Movimenti'!$C:$C, 'Lista Movimenti'!$B:$B, $B19, 'Lista Movimenti'!$E:$E, "Spesa", 'Lista Movimenti'!$D:$D, "&gt;=01/04/2026", 'Lista Movimenti'!$D:$D, "&lt;=30/04/2026")</f>
        <v>0</v>
      </c>
      <c r="D19" s="39">
        <v>35.0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ht="22.5" customHeight="1">
      <c r="A20" s="41" t="s">
        <v>42</v>
      </c>
      <c r="B20" s="42" t="s">
        <v>43</v>
      </c>
      <c r="C20" s="43">
        <f t="shared" ref="C20:D20" si="1">SUM(C13:C19)</f>
        <v>300</v>
      </c>
      <c r="D20" s="43">
        <f t="shared" si="1"/>
        <v>665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ht="22.5" customHeight="1">
      <c r="A21" s="38"/>
      <c r="B21" s="31"/>
      <c r="C21" s="33"/>
      <c r="D21" s="33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ht="22.5" customHeight="1">
      <c r="A22" s="45" t="s">
        <v>44</v>
      </c>
      <c r="B22" s="46" t="s">
        <v>45</v>
      </c>
      <c r="C22" s="47" t="s">
        <v>51</v>
      </c>
      <c r="D22" s="47" t="s">
        <v>38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22.5" customHeight="1">
      <c r="A23" s="38"/>
      <c r="B23" s="28" t="s">
        <v>12</v>
      </c>
      <c r="C23" s="39">
        <f>SUMIFS('Lista Movimenti'!$C:$C, 'Lista Movimenti'!$B:$B, $B23, 'Lista Movimenti'!$E:$E, "Spesa", 'Lista Movimenti'!$D:$D, "&gt;=01/04/2026", 'Lista Movimenti'!$D:$D, "&lt;=30/04/2026")</f>
        <v>32</v>
      </c>
      <c r="D23" s="39">
        <v>22.0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ht="22.5" customHeight="1">
      <c r="A24" s="38"/>
      <c r="B24" s="28" t="s">
        <v>8</v>
      </c>
      <c r="C24" s="39">
        <f>SUMIFS('Lista Movimenti'!$C:$C, 'Lista Movimenti'!$B:$B, $B24, 'Lista Movimenti'!$E:$E, "Spesa", 'Lista Movimenti'!$D:$D, "&gt;=01/04/2026", 'Lista Movimenti'!$D:$D, "&lt;=30/04/2026")</f>
        <v>0</v>
      </c>
      <c r="D24" s="39">
        <v>85.0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ht="22.5" customHeight="1">
      <c r="A25" s="38"/>
      <c r="B25" s="28" t="s">
        <v>13</v>
      </c>
      <c r="C25" s="39">
        <f>SUMIFS('Lista Movimenti'!$C:$C, 'Lista Movimenti'!$B:$B, $B25, 'Lista Movimenti'!$E:$E, "Spesa", 'Lista Movimenti'!$D:$D, "&gt;=01/04/2026", 'Lista Movimenti'!$D:$D, "&lt;=30/04/2026")</f>
        <v>0</v>
      </c>
      <c r="D25" s="39">
        <v>24.0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ht="22.5" customHeight="1">
      <c r="A26" s="38"/>
      <c r="B26" s="28" t="s">
        <v>11</v>
      </c>
      <c r="C26" s="39">
        <f>SUMIFS('Lista Movimenti'!$C:$C, 'Lista Movimenti'!$B:$B, $B26, 'Lista Movimenti'!$E:$E, "Spesa", 'Lista Movimenti'!$D:$D, "&gt;=01/04/2026", 'Lista Movimenti'!$D:$D, "&lt;=30/04/2026")</f>
        <v>0</v>
      </c>
      <c r="D26" s="39">
        <v>20.0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ht="22.5" customHeight="1">
      <c r="A27" s="38"/>
      <c r="B27" s="28" t="s">
        <v>5</v>
      </c>
      <c r="C27" s="39">
        <f>SUMIFS('Lista Movimenti'!$C:$C, 'Lista Movimenti'!$B:$B, $B27, 'Lista Movimenti'!$E:$E, "Spesa", 'Lista Movimenti'!$D:$D, "&gt;=01/04/2026", 'Lista Movimenti'!$D:$D, "&lt;=30/04/2026")</f>
        <v>0</v>
      </c>
      <c r="D27" s="39">
        <v>60.0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ht="22.5" customHeight="1">
      <c r="A28" s="38"/>
      <c r="B28" s="28" t="s">
        <v>18</v>
      </c>
      <c r="C28" s="39">
        <f>SUMIFS('Lista Movimenti'!$C:$C, 'Lista Movimenti'!$B:$B, $B28, 'Lista Movimenti'!$E:$E, "Spesa", 'Lista Movimenti'!$D:$D, "&gt;=01/04/2026", 'Lista Movimenti'!$D:$D, "&lt;=30/04/2026")</f>
        <v>0</v>
      </c>
      <c r="D28" s="39">
        <v>40.0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ht="22.5" customHeight="1">
      <c r="A29" s="38"/>
      <c r="B29" s="28" t="s">
        <v>17</v>
      </c>
      <c r="C29" s="39">
        <f>SUMIFS('Lista Movimenti'!$C:$C, 'Lista Movimenti'!$B:$B, $B29, 'Lista Movimenti'!$E:$E, "Spesa", 'Lista Movimenti'!$D:$D, "&gt;=01/04/2026", 'Lista Movimenti'!$D:$D, "&lt;=30/04/2026")</f>
        <v>0</v>
      </c>
      <c r="D29" s="39">
        <v>95.0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ht="22.5" customHeight="1">
      <c r="A30" s="38"/>
      <c r="B30" s="28" t="s">
        <v>7</v>
      </c>
      <c r="C30" s="39">
        <f>SUMIFS('Lista Movimenti'!$C:$C, 'Lista Movimenti'!$B:$B, $B30, 'Lista Movimenti'!$E:$E, "Spesa", 'Lista Movimenti'!$D:$D, "&gt;=01/04/2026", 'Lista Movimenti'!$D:$D, "&lt;=30/04/2026")</f>
        <v>0</v>
      </c>
      <c r="D30" s="39">
        <v>13.0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ht="22.5" customHeight="1">
      <c r="A31" s="45" t="s">
        <v>46</v>
      </c>
      <c r="B31" s="46" t="s">
        <v>45</v>
      </c>
      <c r="C31" s="48">
        <f t="shared" ref="C31:D31" si="2">SUM(C23:C30)</f>
        <v>32</v>
      </c>
      <c r="D31" s="48">
        <f t="shared" si="2"/>
        <v>359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ht="22.5" customHeight="1">
      <c r="A32" s="38"/>
      <c r="B32" s="31"/>
      <c r="C32" s="33"/>
      <c r="D32" s="33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ht="22.5" customHeight="1">
      <c r="A33" s="50" t="s">
        <v>47</v>
      </c>
      <c r="B33" s="51"/>
      <c r="C33" s="52">
        <f t="shared" ref="C33:D33" si="3">(C31 + C20)</f>
        <v>332</v>
      </c>
      <c r="D33" s="52">
        <f t="shared" si="3"/>
        <v>1024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ht="22.5" customHeight="1">
      <c r="A34" s="32" t="s">
        <v>48</v>
      </c>
      <c r="B34" s="31"/>
      <c r="C34" s="33">
        <f>(B8-C33)</f>
        <v>968</v>
      </c>
      <c r="D34" s="33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>
      <c r="A35" s="19"/>
      <c r="B35" s="55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>
      <c r="A36" s="17"/>
      <c r="B36" s="18"/>
      <c r="C36" s="17"/>
      <c r="D36" s="17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ht="22.5" customHeight="1">
      <c r="A37" s="23" t="s">
        <v>1</v>
      </c>
      <c r="B37" s="22" t="s">
        <v>51</v>
      </c>
      <c r="C37" s="23" t="s">
        <v>38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22.5" customHeight="1">
      <c r="A38" s="28" t="s">
        <v>15</v>
      </c>
      <c r="B38" s="33">
        <f>SUMIFS('Lista Movimenti'!$C:$C, 'Lista Movimenti'!$B:$B, $A38, 'Lista Movimenti'!$E:$E, "Risparmio", 'Lista Movimenti'!$D:$D, "&gt;=01/04/2026", 'Lista Movimenti'!$D:$D, "&lt;=30/04/2026")</f>
        <v>300</v>
      </c>
      <c r="C38" s="33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22.5" customHeight="1">
      <c r="A39" s="28" t="s">
        <v>10</v>
      </c>
      <c r="B39" s="33">
        <f>SUMIFS('Lista Movimenti'!$C:$C, 'Lista Movimenti'!$B:$B, $A39, 'Lista Movimenti'!$E:$E, "Risparmio", 'Lista Movimenti'!$D:$D, "&gt;=01/04/2026", 'Lista Movimenti'!$D:$D, "&lt;=30/04/2026")</f>
        <v>0</v>
      </c>
      <c r="C39" s="33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22.5" customHeight="1">
      <c r="A40" s="28" t="s">
        <v>23</v>
      </c>
      <c r="B40" s="33">
        <f>SUMIFS('Lista Movimenti'!$C:$C, 'Lista Movimenti'!$B:$B, $A40, 'Lista Movimenti'!$E:$E, "Risparmio", 'Lista Movimenti'!$D:$D, "&gt;=01/04/2026", 'Lista Movimenti'!$D:$D, "&lt;=30/04/2026")</f>
        <v>0</v>
      </c>
      <c r="C40" s="33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22.5" customHeight="1">
      <c r="A41" s="28" t="s">
        <v>14</v>
      </c>
      <c r="B41" s="33">
        <f>SUMIFS('Lista Movimenti'!$C:$C, 'Lista Movimenti'!$B:$B, $A41, 'Lista Movimenti'!$E:$E, "Risparmio", 'Lista Movimenti'!$D:$D, "&gt;=01/04/2026", 'Lista Movimenti'!$D:$D, "&lt;=30/04/2026")</f>
        <v>0</v>
      </c>
      <c r="C41" s="33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22.5" customHeight="1">
      <c r="A42" s="28" t="s">
        <v>19</v>
      </c>
      <c r="B42" s="33">
        <f>SUMIFS('Lista Movimenti'!$C:$C, 'Lista Movimenti'!$B:$B, $A42, 'Lista Movimenti'!$E:$E, "Risparmio", 'Lista Movimenti'!$D:$D, "&gt;=01/04/2026", 'Lista Movimenti'!$D:$D, "&lt;=30/04/2026")</f>
        <v>0</v>
      </c>
      <c r="C42" s="33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22.5" customHeight="1">
      <c r="A43" s="28" t="s">
        <v>22</v>
      </c>
      <c r="B43" s="33">
        <f>SUMIFS('Lista Movimenti'!$C:$C, 'Lista Movimenti'!$B:$B, $A43, 'Lista Movimenti'!$E:$E, "Risparmio", 'Lista Movimenti'!$D:$D, "&gt;=01/04/2026", 'Lista Movimenti'!$D:$D, "&lt;=30/04/2026")</f>
        <v>0</v>
      </c>
      <c r="C43" s="33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22.5" customHeight="1">
      <c r="A44" s="28" t="s">
        <v>16</v>
      </c>
      <c r="B44" s="33">
        <f>SUMIFS('Lista Movimenti'!$C:$C, 'Lista Movimenti'!$B:$B, $A44, 'Lista Movimenti'!$E:$E, "Risparmio", 'Lista Movimenti'!$D:$D, "&gt;=01/04/2026", 'Lista Movimenti'!$D:$D, "&lt;=30/04/2026")</f>
        <v>0</v>
      </c>
      <c r="C44" s="33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22.5" customHeight="1">
      <c r="A45" s="28" t="s">
        <v>12</v>
      </c>
      <c r="B45" s="33">
        <f>SUMIFS('Lista Movimenti'!$C:$C, 'Lista Movimenti'!$B:$B, $A45, 'Lista Movimenti'!$E:$E, "Risparmio", 'Lista Movimenti'!$D:$D, "&gt;=01/04/2026", 'Lista Movimenti'!$D:$D, "&lt;=30/04/2026")</f>
        <v>0</v>
      </c>
      <c r="C45" s="33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22.5" customHeight="1">
      <c r="A46" s="28" t="s">
        <v>8</v>
      </c>
      <c r="B46" s="33">
        <f>SUMIFS('Lista Movimenti'!$C:$C, 'Lista Movimenti'!$B:$B, $A46, 'Lista Movimenti'!$E:$E, "Risparmio", 'Lista Movimenti'!$D:$D, "&gt;=01/04/2026", 'Lista Movimenti'!$D:$D, "&lt;=30/04/2026")</f>
        <v>0</v>
      </c>
      <c r="C46" s="33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22.5" customHeight="1">
      <c r="A47" s="28" t="s">
        <v>13</v>
      </c>
      <c r="B47" s="33">
        <f>SUMIFS('Lista Movimenti'!$C:$C, 'Lista Movimenti'!$B:$B, $A47, 'Lista Movimenti'!$E:$E, "Risparmio", 'Lista Movimenti'!$D:$D, "&gt;=01/04/2026", 'Lista Movimenti'!$D:$D, "&lt;=30/04/2026")</f>
        <v>0</v>
      </c>
      <c r="C47" s="33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22.5" customHeight="1">
      <c r="A48" s="28" t="s">
        <v>11</v>
      </c>
      <c r="B48" s="33">
        <f>SUMIFS('Lista Movimenti'!$C:$C, 'Lista Movimenti'!$B:$B, $A48, 'Lista Movimenti'!$E:$E, "Risparmio", 'Lista Movimenti'!$D:$D, "&gt;=01/04/2026", 'Lista Movimenti'!$D:$D, "&lt;=30/04/2026")</f>
        <v>0</v>
      </c>
      <c r="C48" s="33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22.5" customHeight="1">
      <c r="A49" s="28" t="s">
        <v>5</v>
      </c>
      <c r="B49" s="33">
        <f>SUMIFS('Lista Movimenti'!$C:$C, 'Lista Movimenti'!$B:$B, $A49, 'Lista Movimenti'!$E:$E, "Risparmio", 'Lista Movimenti'!$D:$D, "&gt;=01/04/2026", 'Lista Movimenti'!$D:$D, "&lt;=30/04/2026")</f>
        <v>0</v>
      </c>
      <c r="C49" s="33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22.5" customHeight="1">
      <c r="A50" s="28" t="s">
        <v>18</v>
      </c>
      <c r="B50" s="33">
        <f>SUMIFS('Lista Movimenti'!$C:$C, 'Lista Movimenti'!$B:$B, $A50, 'Lista Movimenti'!$E:$E, "Risparmio", 'Lista Movimenti'!$D:$D, "&gt;=01/04/2026", 'Lista Movimenti'!$D:$D, "&lt;=30/04/2026")</f>
        <v>0</v>
      </c>
      <c r="C50" s="33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22.5" customHeight="1">
      <c r="A51" s="28" t="s">
        <v>17</v>
      </c>
      <c r="B51" s="33">
        <f>SUMIFS('Lista Movimenti'!$C:$C, 'Lista Movimenti'!$B:$B, $A51, 'Lista Movimenti'!$E:$E, "Risparmio", 'Lista Movimenti'!$D:$D, "&gt;=01/04/2026", 'Lista Movimenti'!$D:$D, "&lt;=30/04/2026")</f>
        <v>0</v>
      </c>
      <c r="C51" s="33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22.5" customHeight="1">
      <c r="A52" s="28" t="s">
        <v>7</v>
      </c>
      <c r="B52" s="33">
        <f>SUMIFS('Lista Movimenti'!$C:$C, 'Lista Movimenti'!$B:$B, $A52, 'Lista Movimenti'!$E:$E, "Risparmio", 'Lista Movimenti'!$D:$D, "&gt;=01/04/2026", 'Lista Movimenti'!$D:$D, "&lt;=30/04/2026")</f>
        <v>0</v>
      </c>
      <c r="C52" s="33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22.5" customHeight="1">
      <c r="A53" s="28" t="s">
        <v>20</v>
      </c>
      <c r="B53" s="33">
        <f>SUMIFS('Lista Movimenti'!$C:$C, 'Lista Movimenti'!$B:$B, $A53, 'Lista Movimenti'!$E:$E, "Risparmio", 'Lista Movimenti'!$D:$D, "&gt;=01/04/2026", 'Lista Movimenti'!$D:$D, "&lt;=30/04/2026")</f>
        <v>0</v>
      </c>
      <c r="C53" s="33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22.5" customHeight="1">
      <c r="A54" s="28" t="s">
        <v>21</v>
      </c>
      <c r="B54" s="33">
        <f>SUMIFS('Lista Movimenti'!$C:$C, 'Lista Movimenti'!$B:$B, $A54, 'Lista Movimenti'!$E:$E, "Risparmio", 'Lista Movimenti'!$D:$D, "&gt;=01/04/2026", 'Lista Movimenti'!$D:$D, "&lt;=30/04/2026")</f>
        <v>0</v>
      </c>
      <c r="C54" s="33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22.5" customHeight="1">
      <c r="A55" s="32" t="s">
        <v>49</v>
      </c>
      <c r="B55" s="33">
        <f>SUM(Risparmi_5[Totale])</f>
        <v>300</v>
      </c>
      <c r="C55" s="33">
        <f>SUM(Risparmi_5[Obiettivo])</f>
        <v>0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56">
        <v>0.0</v>
      </c>
      <c r="T55" s="19"/>
      <c r="U55" s="19"/>
      <c r="V55" s="19"/>
      <c r="W55" s="19"/>
    </row>
  </sheetData>
  <conditionalFormatting sqref="C34">
    <cfRule type="cellIs" dxfId="9" priority="1" operator="greaterThan">
      <formula>0</formula>
    </cfRule>
  </conditionalFormatting>
  <conditionalFormatting sqref="C34">
    <cfRule type="cellIs" dxfId="10" priority="2" operator="lessThan">
      <formula>0</formula>
    </cfRule>
  </conditionalFormatting>
  <conditionalFormatting sqref="D34 A34:B34">
    <cfRule type="expression" dxfId="11" priority="3">
      <formula>$C34&gt;0</formula>
    </cfRule>
  </conditionalFormatting>
  <conditionalFormatting sqref="D34 A34:B34">
    <cfRule type="expression" dxfId="12" priority="4">
      <formula>$C34&lt;0</formula>
    </cfRule>
  </conditionalFormatting>
  <conditionalFormatting sqref="P6">
    <cfRule type="notContainsBlanks" dxfId="13" priority="5">
      <formula>LEN(TRIM(P6))&gt;0</formula>
    </cfRule>
  </conditionalFormatting>
  <dataValidations>
    <dataValidation type="list" allowBlank="1" sqref="A4:A7">
      <formula1>#REF!</formula1>
    </dataValidation>
    <dataValidation type="custom" allowBlank="1" showDropDown="1" sqref="B4:C7 C13:D34 B38:C54">
      <formula1>AND(ISNUMBER(B4),(NOT(OR(NOT(ISERROR(DATEVALUE(B4))), AND(ISNUMBER(B4), LEFT(CELL("format", B4))="D")))))</formula1>
    </dataValidation>
    <dataValidation type="list" allowBlank="1" sqref="B13:B34 A38:A54">
      <formula1>#REF!</formula1>
    </dataValidation>
  </dataValidations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25"/>
    <col customWidth="1" min="2" max="2" width="25.38"/>
    <col customWidth="1" min="3" max="3" width="16.25"/>
    <col customWidth="1" min="4" max="4" width="17.0"/>
  </cols>
  <sheetData>
    <row r="1" ht="108.0" customHeight="1">
      <c r="A1" s="14" t="s">
        <v>50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>
      <c r="A2" s="17"/>
      <c r="B2" s="18"/>
      <c r="C2" s="17"/>
      <c r="D2" s="19"/>
      <c r="E2" s="19"/>
      <c r="F2" s="20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ht="22.5" customHeight="1">
      <c r="A3" s="21" t="s">
        <v>1</v>
      </c>
      <c r="B3" s="22" t="s">
        <v>51</v>
      </c>
      <c r="C3" s="23" t="s">
        <v>38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ht="22.5" customHeight="1">
      <c r="A4" s="24" t="s">
        <v>20</v>
      </c>
      <c r="B4" s="25">
        <f>SUMIFS('Lista Movimenti'!$C:$C, 'Lista Movimenti'!$B:$B, $A4, 'Lista Movimenti'!$D:$D, "&gt;="&amp;DATE(2026,5,1), 'Lista Movimenti'!$D:$D, "&lt;="&amp;DATE(2026,5,31))</f>
        <v>1230</v>
      </c>
      <c r="C4" s="5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ht="22.5" customHeight="1">
      <c r="A5" s="28" t="s">
        <v>21</v>
      </c>
      <c r="B5" s="25">
        <f>SUMIFS('Lista Movimenti'!$C:$C, 'Lista Movimenti'!$B:$B, $A5, 'Lista Movimenti'!$D:$D, "&gt;="&amp;DATE(2026,5,1), 'Lista Movimenti'!$D:$D, "&lt;="&amp;DATE(2026,5,31))</f>
        <v>30</v>
      </c>
      <c r="C5" s="33"/>
      <c r="D5" s="19"/>
      <c r="E5" s="17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ht="22.5" customHeight="1">
      <c r="A6" s="31"/>
      <c r="B6" s="25">
        <f>SUMIFS('Lista Movimenti'!$C:$C, 'Lista Movimenti'!$B:$B, $A6, 'Lista Movimenti'!$D:$D, "&gt;="&amp;DATE(2026,5,1), 'Lista Movimenti'!$D:$D, "&lt;="&amp;DATE(2026,5,31))</f>
        <v>0</v>
      </c>
      <c r="C6" s="33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ht="22.5" customHeight="1">
      <c r="A7" s="31"/>
      <c r="B7" s="25">
        <f>SUMIFS('Lista Movimenti'!$C:$C, 'Lista Movimenti'!$B:$B, $A7, 'Lista Movimenti'!$D:$D, "&gt;="&amp;DATE(2026,5,1), 'Lista Movimenti'!$D:$D, "&lt;="&amp;DATE(2026,5,31))</f>
        <v>0</v>
      </c>
      <c r="C7" s="33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22.5" customHeight="1">
      <c r="A8" s="60"/>
      <c r="B8" s="61">
        <f>SUM(Entrate_Mag[Totale])</f>
        <v>1260</v>
      </c>
      <c r="C8" s="61">
        <f>SUM(Entrate_Mag[Obiettivo])</f>
        <v>0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>
      <c r="A9" s="19"/>
      <c r="B9" s="35"/>
      <c r="C9" s="36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>
      <c r="A10" s="37"/>
      <c r="B10" s="37"/>
      <c r="C10" s="37"/>
      <c r="D10" s="17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>
      <c r="A11" s="37"/>
      <c r="B11" s="37"/>
      <c r="C11" s="37"/>
      <c r="D11" s="17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ht="22.5" customHeight="1">
      <c r="A12" s="23" t="s">
        <v>41</v>
      </c>
      <c r="B12" s="22" t="s">
        <v>1</v>
      </c>
      <c r="C12" s="23" t="s">
        <v>51</v>
      </c>
      <c r="D12" s="23" t="s">
        <v>38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ht="22.5" customHeight="1">
      <c r="A13" s="38"/>
      <c r="B13" s="28" t="s">
        <v>15</v>
      </c>
      <c r="C13" s="33">
        <f>SUMIFS('Lista Movimenti'!$C:$C, 'Lista Movimenti'!$B:$B, $B13, 'Lista Movimenti'!$E:$E, "Spesa", 'Lista Movimenti'!$D:$D, "&gt;=01/05/2026", 'Lista Movimenti'!$D:$D, "&lt;=31/05/2026")</f>
        <v>0</v>
      </c>
      <c r="D13" s="39">
        <v>200.0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ht="22.5" customHeight="1">
      <c r="A14" s="38"/>
      <c r="B14" s="28" t="s">
        <v>10</v>
      </c>
      <c r="C14" s="33">
        <f>SUMIFS('Lista Movimenti'!$C:$C, 'Lista Movimenti'!$B:$B, $B14, 'Lista Movimenti'!$E:$E, "Spesa", 'Lista Movimenti'!$D:$D, "&gt;=01/05/2026", 'Lista Movimenti'!$D:$D, "&lt;=31/05/2026")</f>
        <v>0</v>
      </c>
      <c r="D14" s="39">
        <v>280.0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ht="22.5" customHeight="1">
      <c r="A15" s="38"/>
      <c r="B15" s="28" t="s">
        <v>23</v>
      </c>
      <c r="C15" s="33">
        <f>SUMIFS('Lista Movimenti'!$C:$C, 'Lista Movimenti'!$B:$B, $B15, 'Lista Movimenti'!$E:$E, "Spesa", 'Lista Movimenti'!$D:$D, "&gt;=01/05/2026", 'Lista Movimenti'!$D:$D, "&lt;=31/05/2026")</f>
        <v>0</v>
      </c>
      <c r="D15" s="39">
        <v>50.0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ht="22.5" customHeight="1">
      <c r="A16" s="38"/>
      <c r="B16" s="28" t="s">
        <v>14</v>
      </c>
      <c r="C16" s="33">
        <f>SUMIFS('Lista Movimenti'!$C:$C, 'Lista Movimenti'!$B:$B, $B16, 'Lista Movimenti'!$E:$E, "Spesa", 'Lista Movimenti'!$D:$D, "&gt;=01/05/2026", 'Lista Movimenti'!$D:$D, "&lt;=31/05/2026")</f>
        <v>0</v>
      </c>
      <c r="D16" s="39">
        <v>40.0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ht="22.5" customHeight="1">
      <c r="A17" s="38"/>
      <c r="B17" s="28" t="s">
        <v>19</v>
      </c>
      <c r="C17" s="33">
        <f>SUMIFS('Lista Movimenti'!$C:$C, 'Lista Movimenti'!$B:$B, $B17, 'Lista Movimenti'!$E:$E, "Spesa", 'Lista Movimenti'!$D:$D, "&gt;=01/05/2026", 'Lista Movimenti'!$D:$D, "&lt;=31/05/2026")</f>
        <v>0</v>
      </c>
      <c r="D17" s="39">
        <v>15.0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ht="22.5" customHeight="1">
      <c r="A18" s="38"/>
      <c r="B18" s="28" t="s">
        <v>22</v>
      </c>
      <c r="C18" s="33">
        <f>SUMIFS('Lista Movimenti'!$C:$C, 'Lista Movimenti'!$B:$B, $B18, 'Lista Movimenti'!$E:$E, "Spesa", 'Lista Movimenti'!$D:$D, "&gt;=01/05/2026", 'Lista Movimenti'!$D:$D, "&lt;=31/05/2026")</f>
        <v>0</v>
      </c>
      <c r="D18" s="39">
        <v>45.0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ht="22.5" customHeight="1">
      <c r="A19" s="38"/>
      <c r="B19" s="28" t="s">
        <v>16</v>
      </c>
      <c r="C19" s="33">
        <f>SUMIFS('Lista Movimenti'!$C:$C, 'Lista Movimenti'!$B:$B, $B19, 'Lista Movimenti'!$E:$E, "Spesa", 'Lista Movimenti'!$D:$D, "&gt;=01/05/2026", 'Lista Movimenti'!$D:$D, "&lt;=31/05/2026")</f>
        <v>0</v>
      </c>
      <c r="D19" s="39">
        <v>35.0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ht="22.5" customHeight="1">
      <c r="A20" s="41" t="s">
        <v>42</v>
      </c>
      <c r="B20" s="42" t="s">
        <v>43</v>
      </c>
      <c r="C20" s="43">
        <f t="shared" ref="C20:D20" si="1">SUM(C13:C19)</f>
        <v>0</v>
      </c>
      <c r="D20" s="43">
        <f t="shared" si="1"/>
        <v>665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ht="22.5" customHeight="1">
      <c r="A21" s="38"/>
      <c r="B21" s="31"/>
      <c r="C21" s="33"/>
      <c r="D21" s="33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ht="22.5" customHeight="1">
      <c r="A22" s="45" t="s">
        <v>44</v>
      </c>
      <c r="B22" s="46" t="s">
        <v>45</v>
      </c>
      <c r="C22" s="47" t="s">
        <v>51</v>
      </c>
      <c r="D22" s="47" t="s">
        <v>38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22.5" customHeight="1">
      <c r="A23" s="38"/>
      <c r="B23" s="28" t="s">
        <v>12</v>
      </c>
      <c r="C23" s="39">
        <f>SUMIFS('Lista Movimenti'!$C:$C, 'Lista Movimenti'!$B:$B, $B23, 'Lista Movimenti'!$E:$E, "Spesa", 'Lista Movimenti'!$D:$D, "&gt;=01/05/2026", 'Lista Movimenti'!$D:$D, "&lt;=31/05/2026")</f>
        <v>0</v>
      </c>
      <c r="D23" s="39">
        <v>22.0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ht="22.5" customHeight="1">
      <c r="A24" s="38"/>
      <c r="B24" s="28" t="s">
        <v>8</v>
      </c>
      <c r="C24" s="39">
        <f>SUMIFS('Lista Movimenti'!$C:$C, 'Lista Movimenti'!$B:$B, $B24, 'Lista Movimenti'!$E:$E, "Spesa", 'Lista Movimenti'!$D:$D, "&gt;=01/05/2026", 'Lista Movimenti'!$D:$D, "&lt;=31/05/2026")</f>
        <v>0</v>
      </c>
      <c r="D24" s="39">
        <v>85.0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ht="22.5" customHeight="1">
      <c r="A25" s="38"/>
      <c r="B25" s="28" t="s">
        <v>13</v>
      </c>
      <c r="C25" s="39">
        <f>SUMIFS('Lista Movimenti'!$C:$C, 'Lista Movimenti'!$B:$B, $B25, 'Lista Movimenti'!$E:$E, "Spesa", 'Lista Movimenti'!$D:$D, "&gt;=01/05/2026", 'Lista Movimenti'!$D:$D, "&lt;=31/05/2026")</f>
        <v>24</v>
      </c>
      <c r="D25" s="39">
        <v>24.0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ht="22.5" customHeight="1">
      <c r="A26" s="38"/>
      <c r="B26" s="28" t="s">
        <v>11</v>
      </c>
      <c r="C26" s="39">
        <f>SUMIFS('Lista Movimenti'!$C:$C, 'Lista Movimenti'!$B:$B, $B26, 'Lista Movimenti'!$E:$E, "Spesa", 'Lista Movimenti'!$D:$D, "&gt;=01/05/2026", 'Lista Movimenti'!$D:$D, "&lt;=31/05/2026")</f>
        <v>50</v>
      </c>
      <c r="D26" s="39">
        <v>20.0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ht="22.5" customHeight="1">
      <c r="A27" s="38"/>
      <c r="B27" s="28" t="s">
        <v>5</v>
      </c>
      <c r="C27" s="39">
        <f>SUMIFS('Lista Movimenti'!$C:$C, 'Lista Movimenti'!$B:$B, $B27, 'Lista Movimenti'!$E:$E, "Spesa", 'Lista Movimenti'!$D:$D, "&gt;=01/05/2026", 'Lista Movimenti'!$D:$D, "&lt;=31/05/2026")</f>
        <v>300</v>
      </c>
      <c r="D27" s="39">
        <v>60.0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ht="22.5" customHeight="1">
      <c r="A28" s="38"/>
      <c r="B28" s="28" t="s">
        <v>18</v>
      </c>
      <c r="C28" s="39">
        <f>SUMIFS('Lista Movimenti'!$C:$C, 'Lista Movimenti'!$B:$B, $B28, 'Lista Movimenti'!$E:$E, "Spesa", 'Lista Movimenti'!$D:$D, "&gt;=01/05/2026", 'Lista Movimenti'!$D:$D, "&lt;=31/05/2026")</f>
        <v>0</v>
      </c>
      <c r="D28" s="39">
        <v>40.0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ht="22.5" customHeight="1">
      <c r="A29" s="38"/>
      <c r="B29" s="28" t="s">
        <v>17</v>
      </c>
      <c r="C29" s="39">
        <f>SUMIFS('Lista Movimenti'!$C:$C, 'Lista Movimenti'!$B:$B, $B29, 'Lista Movimenti'!$E:$E, "Spesa", 'Lista Movimenti'!$D:$D, "&gt;=01/05/2026", 'Lista Movimenti'!$D:$D, "&lt;=31/05/2026")</f>
        <v>0</v>
      </c>
      <c r="D29" s="39">
        <v>95.0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ht="22.5" customHeight="1">
      <c r="A30" s="38"/>
      <c r="B30" s="28" t="s">
        <v>7</v>
      </c>
      <c r="C30" s="39">
        <f>SUMIFS('Lista Movimenti'!$C:$C, 'Lista Movimenti'!$B:$B, $B30, 'Lista Movimenti'!$E:$E, "Spesa", 'Lista Movimenti'!$D:$D, "&gt;=01/05/2026", 'Lista Movimenti'!$D:$D, "&lt;=31/05/2026")</f>
        <v>0</v>
      </c>
      <c r="D30" s="39">
        <v>13.0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ht="22.5" customHeight="1">
      <c r="A31" s="45" t="s">
        <v>46</v>
      </c>
      <c r="B31" s="46" t="s">
        <v>45</v>
      </c>
      <c r="C31" s="48">
        <f t="shared" ref="C31:D31" si="2">SUM(C23:C30)</f>
        <v>374</v>
      </c>
      <c r="D31" s="48">
        <f t="shared" si="2"/>
        <v>359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ht="22.5" customHeight="1">
      <c r="A32" s="38"/>
      <c r="B32" s="31"/>
      <c r="C32" s="33"/>
      <c r="D32" s="33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ht="22.5" customHeight="1">
      <c r="A33" s="50" t="s">
        <v>47</v>
      </c>
      <c r="B33" s="51"/>
      <c r="C33" s="52">
        <f t="shared" ref="C33:D33" si="3">(C31 + C20)</f>
        <v>374</v>
      </c>
      <c r="D33" s="52">
        <f t="shared" si="3"/>
        <v>1024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ht="22.5" customHeight="1">
      <c r="A34" s="32" t="s">
        <v>48</v>
      </c>
      <c r="B34" s="31"/>
      <c r="C34" s="33">
        <f>(B8-C33)</f>
        <v>886</v>
      </c>
      <c r="D34" s="33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>
      <c r="A35" s="19"/>
      <c r="B35" s="55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>
      <c r="A36" s="17"/>
      <c r="B36" s="18"/>
      <c r="C36" s="17"/>
      <c r="D36" s="17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ht="22.5" customHeight="1">
      <c r="A37" s="23" t="s">
        <v>1</v>
      </c>
      <c r="B37" s="22" t="s">
        <v>51</v>
      </c>
      <c r="C37" s="23" t="s">
        <v>38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22.5" customHeight="1">
      <c r="A38" s="28" t="s">
        <v>15</v>
      </c>
      <c r="B38" s="33">
        <f>SUMIFS('Lista Movimenti'!$C:$C, 'Lista Movimenti'!$B:$B, $A38, 'Lista Movimenti'!$E:$E, "Risparmio", 'Lista Movimenti'!$D:$D, "&gt;=01/05/2026", 'Lista Movimenti'!$D:$D, "&lt;=31/05/2026")</f>
        <v>500</v>
      </c>
      <c r="C38" s="33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22.5" customHeight="1">
      <c r="A39" s="28" t="s">
        <v>10</v>
      </c>
      <c r="B39" s="33">
        <f>SUMIFS('Lista Movimenti'!$C:$C, 'Lista Movimenti'!$B:$B, $A39, 'Lista Movimenti'!$E:$E, "Risparmio", 'Lista Movimenti'!$D:$D, "&gt;=01/05/2026", 'Lista Movimenti'!$D:$D, "&lt;=31/05/2026")</f>
        <v>0</v>
      </c>
      <c r="C39" s="33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22.5" customHeight="1">
      <c r="A40" s="28" t="s">
        <v>23</v>
      </c>
      <c r="B40" s="33">
        <f>SUMIFS('Lista Movimenti'!$C:$C, 'Lista Movimenti'!$B:$B, $A40, 'Lista Movimenti'!$E:$E, "Risparmio", 'Lista Movimenti'!$D:$D, "&gt;=01/05/2026", 'Lista Movimenti'!$D:$D, "&lt;=31/05/2026")</f>
        <v>0</v>
      </c>
      <c r="C40" s="33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22.5" customHeight="1">
      <c r="A41" s="28" t="s">
        <v>14</v>
      </c>
      <c r="B41" s="33">
        <f>SUMIFS('Lista Movimenti'!$C:$C, 'Lista Movimenti'!$B:$B, $A41, 'Lista Movimenti'!$E:$E, "Risparmio", 'Lista Movimenti'!$D:$D, "&gt;=01/05/2026", 'Lista Movimenti'!$D:$D, "&lt;=31/05/2026")</f>
        <v>0</v>
      </c>
      <c r="C41" s="33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22.5" customHeight="1">
      <c r="A42" s="28" t="s">
        <v>19</v>
      </c>
      <c r="B42" s="33">
        <f>SUMIFS('Lista Movimenti'!$C:$C, 'Lista Movimenti'!$B:$B, $A42, 'Lista Movimenti'!$E:$E, "Risparmio", 'Lista Movimenti'!$D:$D, "&gt;=01/05/2026", 'Lista Movimenti'!$D:$D, "&lt;=31/05/2026")</f>
        <v>0</v>
      </c>
      <c r="C42" s="33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22.5" customHeight="1">
      <c r="A43" s="28" t="s">
        <v>22</v>
      </c>
      <c r="B43" s="33">
        <f>SUMIFS('Lista Movimenti'!$C:$C, 'Lista Movimenti'!$B:$B, $A43, 'Lista Movimenti'!$E:$E, "Risparmio", 'Lista Movimenti'!$D:$D, "&gt;=01/05/2026", 'Lista Movimenti'!$D:$D, "&lt;=31/05/2026")</f>
        <v>0</v>
      </c>
      <c r="C43" s="33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22.5" customHeight="1">
      <c r="A44" s="28" t="s">
        <v>16</v>
      </c>
      <c r="B44" s="33">
        <f>SUMIFS('Lista Movimenti'!$C:$C, 'Lista Movimenti'!$B:$B, $A44, 'Lista Movimenti'!$E:$E, "Risparmio", 'Lista Movimenti'!$D:$D, "&gt;=01/05/2026", 'Lista Movimenti'!$D:$D, "&lt;=31/05/2026")</f>
        <v>0</v>
      </c>
      <c r="C44" s="33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22.5" customHeight="1">
      <c r="A45" s="28" t="s">
        <v>12</v>
      </c>
      <c r="B45" s="33">
        <f>SUMIFS('Lista Movimenti'!$C:$C, 'Lista Movimenti'!$B:$B, $A45, 'Lista Movimenti'!$E:$E, "Risparmio", 'Lista Movimenti'!$D:$D, "&gt;=01/05/2026", 'Lista Movimenti'!$D:$D, "&lt;=31/05/2026")</f>
        <v>0</v>
      </c>
      <c r="C45" s="33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22.5" customHeight="1">
      <c r="A46" s="28" t="s">
        <v>8</v>
      </c>
      <c r="B46" s="33">
        <f>SUMIFS('Lista Movimenti'!$C:$C, 'Lista Movimenti'!$B:$B, $A46, 'Lista Movimenti'!$E:$E, "Risparmio", 'Lista Movimenti'!$D:$D, "&gt;=01/05/2026", 'Lista Movimenti'!$D:$D, "&lt;=31/05/2026")</f>
        <v>0</v>
      </c>
      <c r="C46" s="33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22.5" customHeight="1">
      <c r="A47" s="28" t="s">
        <v>13</v>
      </c>
      <c r="B47" s="33">
        <f>SUMIFS('Lista Movimenti'!$C:$C, 'Lista Movimenti'!$B:$B, $A47, 'Lista Movimenti'!$E:$E, "Risparmio", 'Lista Movimenti'!$D:$D, "&gt;=01/05/2026", 'Lista Movimenti'!$D:$D, "&lt;=31/05/2026")</f>
        <v>0</v>
      </c>
      <c r="C47" s="33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22.5" customHeight="1">
      <c r="A48" s="28" t="s">
        <v>11</v>
      </c>
      <c r="B48" s="33">
        <f>SUMIFS('Lista Movimenti'!$C:$C, 'Lista Movimenti'!$B:$B, $A48, 'Lista Movimenti'!$E:$E, "Risparmio", 'Lista Movimenti'!$D:$D, "&gt;=01/05/2026", 'Lista Movimenti'!$D:$D, "&lt;=31/05/2026")</f>
        <v>0</v>
      </c>
      <c r="C48" s="33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22.5" customHeight="1">
      <c r="A49" s="28" t="s">
        <v>5</v>
      </c>
      <c r="B49" s="33">
        <f>SUMIFS('Lista Movimenti'!$C:$C, 'Lista Movimenti'!$B:$B, $A49, 'Lista Movimenti'!$E:$E, "Risparmio", 'Lista Movimenti'!$D:$D, "&gt;=01/05/2026", 'Lista Movimenti'!$D:$D, "&lt;=31/05/2026")</f>
        <v>0</v>
      </c>
      <c r="C49" s="33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22.5" customHeight="1">
      <c r="A50" s="28" t="s">
        <v>18</v>
      </c>
      <c r="B50" s="33">
        <f>SUMIFS('Lista Movimenti'!$C:$C, 'Lista Movimenti'!$B:$B, $A50, 'Lista Movimenti'!$E:$E, "Risparmio", 'Lista Movimenti'!$D:$D, "&gt;=01/05/2026", 'Lista Movimenti'!$D:$D, "&lt;=31/05/2026")</f>
        <v>0</v>
      </c>
      <c r="C50" s="33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22.5" customHeight="1">
      <c r="A51" s="28" t="s">
        <v>17</v>
      </c>
      <c r="B51" s="33">
        <f>SUMIFS('Lista Movimenti'!$C:$C, 'Lista Movimenti'!$B:$B, $A51, 'Lista Movimenti'!$E:$E, "Risparmio", 'Lista Movimenti'!$D:$D, "&gt;=01/05/2026", 'Lista Movimenti'!$D:$D, "&lt;=31/05/2026")</f>
        <v>0</v>
      </c>
      <c r="C51" s="33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22.5" customHeight="1">
      <c r="A52" s="28" t="s">
        <v>7</v>
      </c>
      <c r="B52" s="33">
        <f>SUMIFS('Lista Movimenti'!$C:$C, 'Lista Movimenti'!$B:$B, $A52, 'Lista Movimenti'!$E:$E, "Risparmio", 'Lista Movimenti'!$D:$D, "&gt;=01/05/2026", 'Lista Movimenti'!$D:$D, "&lt;=31/05/2026")</f>
        <v>0</v>
      </c>
      <c r="C52" s="33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22.5" customHeight="1">
      <c r="A53" s="28" t="s">
        <v>20</v>
      </c>
      <c r="B53" s="33">
        <f>SUMIFS('Lista Movimenti'!$C:$C, 'Lista Movimenti'!$B:$B, $A53, 'Lista Movimenti'!$E:$E, "Risparmio", 'Lista Movimenti'!$D:$D, "&gt;=01/05/2026", 'Lista Movimenti'!$D:$D, "&lt;=31/05/2026")</f>
        <v>0</v>
      </c>
      <c r="C53" s="33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22.5" customHeight="1">
      <c r="A54" s="28" t="s">
        <v>21</v>
      </c>
      <c r="B54" s="33">
        <f>SUMIFS('Lista Movimenti'!$C:$C, 'Lista Movimenti'!$B:$B, $A54, 'Lista Movimenti'!$E:$E, "Risparmio", 'Lista Movimenti'!$D:$D, "&gt;=01/05/2026", 'Lista Movimenti'!$D:$D, "&lt;=31/05/2026")</f>
        <v>0</v>
      </c>
      <c r="C54" s="33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22.5" customHeight="1">
      <c r="A55" s="32" t="s">
        <v>49</v>
      </c>
      <c r="B55" s="33">
        <f>SUM(Risparmi_4[Totale])</f>
        <v>500</v>
      </c>
      <c r="C55" s="33">
        <f>SUM(Risparmi_4[Obiettivo])</f>
        <v>0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56">
        <v>0.0</v>
      </c>
      <c r="T55" s="19"/>
      <c r="U55" s="19"/>
      <c r="V55" s="19"/>
      <c r="W55" s="19"/>
    </row>
  </sheetData>
  <conditionalFormatting sqref="C34">
    <cfRule type="cellIs" dxfId="9" priority="1" operator="greaterThan">
      <formula>0</formula>
    </cfRule>
  </conditionalFormatting>
  <conditionalFormatting sqref="C34">
    <cfRule type="cellIs" dxfId="10" priority="2" operator="lessThan">
      <formula>0</formula>
    </cfRule>
  </conditionalFormatting>
  <conditionalFormatting sqref="D34 A34:B34">
    <cfRule type="expression" dxfId="11" priority="3">
      <formula>$C34&gt;0</formula>
    </cfRule>
  </conditionalFormatting>
  <conditionalFormatting sqref="D34 A34:B34">
    <cfRule type="expression" dxfId="12" priority="4">
      <formula>$C34&lt;0</formula>
    </cfRule>
  </conditionalFormatting>
  <conditionalFormatting sqref="P6">
    <cfRule type="notContainsBlanks" dxfId="13" priority="5">
      <formula>LEN(TRIM(P6))&gt;0</formula>
    </cfRule>
  </conditionalFormatting>
  <dataValidations>
    <dataValidation type="list" allowBlank="1" sqref="A4:A7">
      <formula1>#REF!</formula1>
    </dataValidation>
    <dataValidation type="custom" allowBlank="1" showDropDown="1" sqref="B4:C7 C13:D34 B38:C54">
      <formula1>AND(ISNUMBER(B4),(NOT(OR(NOT(ISERROR(DATEVALUE(B4))), AND(ISNUMBER(B4), LEFT(CELL("format", B4))="D")))))</formula1>
    </dataValidation>
    <dataValidation type="list" allowBlank="1" sqref="B13:B34 A38:A54">
      <formula1>#REF!</formula1>
    </dataValidation>
  </dataValidations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25"/>
    <col customWidth="1" min="2" max="2" width="25.38"/>
    <col customWidth="1" min="3" max="3" width="16.25"/>
    <col customWidth="1" min="4" max="4" width="17.0"/>
  </cols>
  <sheetData>
    <row r="1" ht="108.0" customHeight="1">
      <c r="A1" s="14" t="s">
        <v>50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>
      <c r="A2" s="17"/>
      <c r="B2" s="18"/>
      <c r="C2" s="17"/>
      <c r="D2" s="19"/>
      <c r="E2" s="19"/>
      <c r="F2" s="20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ht="22.5" customHeight="1">
      <c r="A3" s="21" t="s">
        <v>1</v>
      </c>
      <c r="B3" s="22" t="s">
        <v>51</v>
      </c>
      <c r="C3" s="23" t="s">
        <v>38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ht="22.5" customHeight="1">
      <c r="A4" s="24" t="s">
        <v>20</v>
      </c>
      <c r="B4" s="25">
        <f>SUMIFS('Lista Movimenti'!$C:$C, 'Lista Movimenti'!$B:$B, $A4, 'Lista Movimenti'!$D:$D, "&gt;="&amp;DATE(2026,6,1), 'Lista Movimenti'!$D:$D, "&lt;="&amp;DATE(2026,6,30))</f>
        <v>1450</v>
      </c>
      <c r="C4" s="5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ht="22.5" customHeight="1">
      <c r="A5" s="28" t="s">
        <v>21</v>
      </c>
      <c r="B5" s="25">
        <f>SUMIFS('Lista Movimenti'!$C:$C, 'Lista Movimenti'!$B:$B, $A5, 'Lista Movimenti'!$D:$D, "&gt;="&amp;DATE(2026,6,1), 'Lista Movimenti'!$D:$D, "&lt;="&amp;DATE(2026,6,30))</f>
        <v>0</v>
      </c>
      <c r="C5" s="33"/>
      <c r="D5" s="19"/>
      <c r="E5" s="17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ht="22.5" customHeight="1">
      <c r="A6" s="31"/>
      <c r="B6" s="25">
        <f>SUMIFS('Lista Movimenti'!$C:$C, 'Lista Movimenti'!$B:$B, $A6, 'Lista Movimenti'!$D:$D, "&gt;="&amp;DATE(2026,6,1), 'Lista Movimenti'!$D:$D, "&lt;="&amp;DATE(2026,6,30))</f>
        <v>0</v>
      </c>
      <c r="C6" s="33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ht="22.5" customHeight="1">
      <c r="A7" s="31"/>
      <c r="B7" s="25">
        <f>SUMIFS('Lista Movimenti'!$C:$C, 'Lista Movimenti'!$B:$B, $A7, 'Lista Movimenti'!$D:$D, "&gt;="&amp;DATE(2026,6,1), 'Lista Movimenti'!$D:$D, "&lt;="&amp;DATE(2026,6,30))</f>
        <v>0</v>
      </c>
      <c r="C7" s="33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22.5" customHeight="1">
      <c r="A8" s="60"/>
      <c r="B8" s="61">
        <f>SUM(Entrate_Giu[Totale])</f>
        <v>1450</v>
      </c>
      <c r="C8" s="61">
        <f>SUM(Entrate_Giu[Obiettivo])</f>
        <v>0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>
      <c r="A9" s="19"/>
      <c r="B9" s="35"/>
      <c r="C9" s="36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>
      <c r="A10" s="37"/>
      <c r="B10" s="37"/>
      <c r="C10" s="37"/>
      <c r="D10" s="17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>
      <c r="A11" s="37"/>
      <c r="B11" s="37"/>
      <c r="C11" s="37"/>
      <c r="D11" s="17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ht="22.5" customHeight="1">
      <c r="A12" s="23" t="s">
        <v>41</v>
      </c>
      <c r="B12" s="22" t="s">
        <v>1</v>
      </c>
      <c r="C12" s="23" t="s">
        <v>51</v>
      </c>
      <c r="D12" s="23" t="s">
        <v>38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ht="22.5" customHeight="1">
      <c r="A13" s="38"/>
      <c r="B13" s="28" t="s">
        <v>15</v>
      </c>
      <c r="C13" s="33">
        <f>SUMIFS('Lista Movimenti'!$C:$C, 'Lista Movimenti'!$B:$B, $B13, 'Lista Movimenti'!$E:$E, "Spesa", 'Lista Movimenti'!$D:$D, "&gt;=01/06/2026", 'Lista Movimenti'!$D:$D, "&lt;=30/06/2026")</f>
        <v>0</v>
      </c>
      <c r="D13" s="39">
        <v>200.0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ht="22.5" customHeight="1">
      <c r="A14" s="38"/>
      <c r="B14" s="28" t="s">
        <v>10</v>
      </c>
      <c r="C14" s="33">
        <f>SUMIFS('Lista Movimenti'!$C:$C, 'Lista Movimenti'!$B:$B, $B14, 'Lista Movimenti'!$E:$E, "Spesa", 'Lista Movimenti'!$D:$D, "&gt;=01/06/2026", 'Lista Movimenti'!$D:$D, "&lt;=30/06/2026")</f>
        <v>0</v>
      </c>
      <c r="D14" s="39">
        <v>280.0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ht="22.5" customHeight="1">
      <c r="A15" s="38"/>
      <c r="B15" s="28" t="s">
        <v>23</v>
      </c>
      <c r="C15" s="33">
        <f>SUMIFS('Lista Movimenti'!$C:$C, 'Lista Movimenti'!$B:$B, $B15, 'Lista Movimenti'!$E:$E, "Spesa", 'Lista Movimenti'!$D:$D, "&gt;=01/06/2026", 'Lista Movimenti'!$D:$D, "&lt;=30/06/2026")</f>
        <v>0</v>
      </c>
      <c r="D15" s="39">
        <v>50.0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ht="22.5" customHeight="1">
      <c r="A16" s="38"/>
      <c r="B16" s="28" t="s">
        <v>14</v>
      </c>
      <c r="C16" s="33">
        <f>SUMIFS('Lista Movimenti'!$C:$C, 'Lista Movimenti'!$B:$B, $B16, 'Lista Movimenti'!$E:$E, "Spesa", 'Lista Movimenti'!$D:$D, "&gt;=01/06/2026", 'Lista Movimenti'!$D:$D, "&lt;=30/06/2026")</f>
        <v>0</v>
      </c>
      <c r="D16" s="39">
        <v>40.0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ht="22.5" customHeight="1">
      <c r="A17" s="38"/>
      <c r="B17" s="28" t="s">
        <v>19</v>
      </c>
      <c r="C17" s="33">
        <f>SUMIFS('Lista Movimenti'!$C:$C, 'Lista Movimenti'!$B:$B, $B17, 'Lista Movimenti'!$E:$E, "Spesa", 'Lista Movimenti'!$D:$D, "&gt;=01/06/2026", 'Lista Movimenti'!$D:$D, "&lt;=30/06/2026")</f>
        <v>35</v>
      </c>
      <c r="D17" s="39">
        <v>15.0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ht="22.5" customHeight="1">
      <c r="A18" s="38"/>
      <c r="B18" s="28" t="s">
        <v>22</v>
      </c>
      <c r="C18" s="33">
        <f>SUMIFS('Lista Movimenti'!$C:$C, 'Lista Movimenti'!$B:$B, $B18, 'Lista Movimenti'!$E:$E, "Spesa", 'Lista Movimenti'!$D:$D, "&gt;=01/06/2026", 'Lista Movimenti'!$D:$D, "&lt;=30/06/2026")</f>
        <v>0</v>
      </c>
      <c r="D18" s="39">
        <v>45.0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ht="22.5" customHeight="1">
      <c r="A19" s="38"/>
      <c r="B19" s="28" t="s">
        <v>16</v>
      </c>
      <c r="C19" s="33">
        <f>SUMIFS('Lista Movimenti'!$C:$C, 'Lista Movimenti'!$B:$B, $B19, 'Lista Movimenti'!$E:$E, "Spesa", 'Lista Movimenti'!$D:$D, "&gt;=01/06/2026", 'Lista Movimenti'!$D:$D, "&lt;=30/06/2026")</f>
        <v>0</v>
      </c>
      <c r="D19" s="39">
        <v>35.0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ht="22.5" customHeight="1">
      <c r="A20" s="41" t="s">
        <v>42</v>
      </c>
      <c r="B20" s="42" t="s">
        <v>43</v>
      </c>
      <c r="C20" s="43">
        <f t="shared" ref="C20:D20" si="1">SUM(C13:C19)</f>
        <v>35</v>
      </c>
      <c r="D20" s="43">
        <f t="shared" si="1"/>
        <v>665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ht="22.5" customHeight="1">
      <c r="A21" s="38"/>
      <c r="B21" s="31"/>
      <c r="C21" s="33"/>
      <c r="D21" s="33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ht="22.5" customHeight="1">
      <c r="A22" s="45" t="s">
        <v>44</v>
      </c>
      <c r="B22" s="46" t="s">
        <v>45</v>
      </c>
      <c r="C22" s="47" t="s">
        <v>51</v>
      </c>
      <c r="D22" s="47" t="s">
        <v>38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22.5" customHeight="1">
      <c r="A23" s="38"/>
      <c r="B23" s="28" t="s">
        <v>12</v>
      </c>
      <c r="C23" s="39">
        <f>SUMIFS('Lista Movimenti'!$C:$C, 'Lista Movimenti'!$B:$B, $B23, 'Lista Movimenti'!$E:$E, "Spesa", 'Lista Movimenti'!$D:$D, "&gt;=01/06/2026", 'Lista Movimenti'!$D:$D, "&lt;=30/06/2026")</f>
        <v>0</v>
      </c>
      <c r="D23" s="39">
        <v>22.0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ht="22.5" customHeight="1">
      <c r="A24" s="38"/>
      <c r="B24" s="28" t="s">
        <v>8</v>
      </c>
      <c r="C24" s="39">
        <f>SUMIFS('Lista Movimenti'!$C:$C, 'Lista Movimenti'!$B:$B, $B24, 'Lista Movimenti'!$E:$E, "Spesa", 'Lista Movimenti'!$D:$D, "&gt;=01/06/2026", 'Lista Movimenti'!$D:$D, "&lt;=30/06/2026")</f>
        <v>0</v>
      </c>
      <c r="D24" s="39">
        <v>85.0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ht="22.5" customHeight="1">
      <c r="A25" s="38"/>
      <c r="B25" s="28" t="s">
        <v>13</v>
      </c>
      <c r="C25" s="39">
        <f>SUMIFS('Lista Movimenti'!$C:$C, 'Lista Movimenti'!$B:$B, $B25, 'Lista Movimenti'!$E:$E, "Spesa", 'Lista Movimenti'!$D:$D, "&gt;=01/06/2026", 'Lista Movimenti'!$D:$D, "&lt;=30/06/2026")</f>
        <v>22</v>
      </c>
      <c r="D25" s="39">
        <v>24.0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ht="22.5" customHeight="1">
      <c r="A26" s="38"/>
      <c r="B26" s="28" t="s">
        <v>11</v>
      </c>
      <c r="C26" s="39">
        <f>SUMIFS('Lista Movimenti'!$C:$C, 'Lista Movimenti'!$B:$B, $B26, 'Lista Movimenti'!$E:$E, "Spesa", 'Lista Movimenti'!$D:$D, "&gt;=01/06/2026", 'Lista Movimenti'!$D:$D, "&lt;=30/06/2026")</f>
        <v>0</v>
      </c>
      <c r="D26" s="39">
        <v>20.0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ht="22.5" customHeight="1">
      <c r="A27" s="38"/>
      <c r="B27" s="28" t="s">
        <v>5</v>
      </c>
      <c r="C27" s="39">
        <f>SUMIFS('Lista Movimenti'!$C:$C, 'Lista Movimenti'!$B:$B, $B27, 'Lista Movimenti'!$E:$E, "Spesa", 'Lista Movimenti'!$D:$D, "&gt;=01/06/2026", 'Lista Movimenti'!$D:$D, "&lt;=30/06/2026")</f>
        <v>0</v>
      </c>
      <c r="D27" s="39">
        <v>60.0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ht="22.5" customHeight="1">
      <c r="A28" s="38"/>
      <c r="B28" s="28" t="s">
        <v>18</v>
      </c>
      <c r="C28" s="39">
        <f>SUMIFS('Lista Movimenti'!$C:$C, 'Lista Movimenti'!$B:$B, $B28, 'Lista Movimenti'!$E:$E, "Spesa", 'Lista Movimenti'!$D:$D, "&gt;=01/06/2026", 'Lista Movimenti'!$D:$D, "&lt;=30/06/2026")</f>
        <v>0</v>
      </c>
      <c r="D28" s="39">
        <v>40.0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ht="22.5" customHeight="1">
      <c r="A29" s="38"/>
      <c r="B29" s="28" t="s">
        <v>17</v>
      </c>
      <c r="C29" s="39">
        <f>SUMIFS('Lista Movimenti'!$C:$C, 'Lista Movimenti'!$B:$B, $B29, 'Lista Movimenti'!$E:$E, "Spesa", 'Lista Movimenti'!$D:$D, "&gt;=01/06/2026", 'Lista Movimenti'!$D:$D, "&lt;=30/06/2026")</f>
        <v>0</v>
      </c>
      <c r="D29" s="39">
        <v>95.0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ht="22.5" customHeight="1">
      <c r="A30" s="38"/>
      <c r="B30" s="28" t="s">
        <v>7</v>
      </c>
      <c r="C30" s="39">
        <f>SUMIFS('Lista Movimenti'!$C:$C, 'Lista Movimenti'!$B:$B, $B30, 'Lista Movimenti'!$E:$E, "Spesa", 'Lista Movimenti'!$D:$D, "&gt;=01/06/2026", 'Lista Movimenti'!$D:$D, "&lt;=30/06/2026")</f>
        <v>0</v>
      </c>
      <c r="D30" s="39">
        <v>13.0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ht="22.5" customHeight="1">
      <c r="A31" s="45" t="s">
        <v>46</v>
      </c>
      <c r="B31" s="46" t="s">
        <v>45</v>
      </c>
      <c r="C31" s="48">
        <f t="shared" ref="C31:D31" si="2">SUM(C23:C30)</f>
        <v>22</v>
      </c>
      <c r="D31" s="48">
        <f t="shared" si="2"/>
        <v>359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ht="22.5" customHeight="1">
      <c r="A32" s="38"/>
      <c r="B32" s="31"/>
      <c r="C32" s="33"/>
      <c r="D32" s="33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ht="22.5" customHeight="1">
      <c r="A33" s="50" t="s">
        <v>47</v>
      </c>
      <c r="B33" s="51"/>
      <c r="C33" s="52">
        <f t="shared" ref="C33:D33" si="3">(C31 + C20)</f>
        <v>57</v>
      </c>
      <c r="D33" s="52">
        <f t="shared" si="3"/>
        <v>1024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ht="22.5" customHeight="1">
      <c r="A34" s="32" t="s">
        <v>48</v>
      </c>
      <c r="B34" s="31"/>
      <c r="C34" s="33">
        <f>(B8-C33)</f>
        <v>1393</v>
      </c>
      <c r="D34" s="33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>
      <c r="A35" s="19"/>
      <c r="B35" s="55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>
      <c r="A36" s="17"/>
      <c r="B36" s="18"/>
      <c r="C36" s="17"/>
      <c r="D36" s="17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ht="22.5" customHeight="1">
      <c r="A37" s="23" t="s">
        <v>1</v>
      </c>
      <c r="B37" s="22" t="s">
        <v>51</v>
      </c>
      <c r="C37" s="23" t="s">
        <v>38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22.5" customHeight="1">
      <c r="A38" s="28" t="s">
        <v>15</v>
      </c>
      <c r="B38" s="33">
        <f>SUMIFS('Lista Movimenti'!$C:$C, 'Lista Movimenti'!$B:$B, $A38, 'Lista Movimenti'!$E:$E, "Risparmio", 'Lista Movimenti'!$D:$D, "&gt;=01/06/2026", 'Lista Movimenti'!$D:$D, "&lt;=30/06/2026")</f>
        <v>0</v>
      </c>
      <c r="C38" s="33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22.5" customHeight="1">
      <c r="A39" s="28" t="s">
        <v>10</v>
      </c>
      <c r="B39" s="33">
        <f>SUMIFS('Lista Movimenti'!$C:$C, 'Lista Movimenti'!$B:$B, $A39, 'Lista Movimenti'!$E:$E, "Risparmio", 'Lista Movimenti'!$D:$D, "&gt;=01/06/2026", 'Lista Movimenti'!$D:$D, "&lt;=30/06/2026")</f>
        <v>0</v>
      </c>
      <c r="C39" s="33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22.5" customHeight="1">
      <c r="A40" s="28" t="s">
        <v>23</v>
      </c>
      <c r="B40" s="33">
        <f>SUMIFS('Lista Movimenti'!$C:$C, 'Lista Movimenti'!$B:$B, $A40, 'Lista Movimenti'!$E:$E, "Risparmio", 'Lista Movimenti'!$D:$D, "&gt;=01/06/2026", 'Lista Movimenti'!$D:$D, "&lt;=30/06/2026")</f>
        <v>0</v>
      </c>
      <c r="C40" s="33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22.5" customHeight="1">
      <c r="A41" s="28" t="s">
        <v>14</v>
      </c>
      <c r="B41" s="33">
        <f>SUMIFS('Lista Movimenti'!$C:$C, 'Lista Movimenti'!$B:$B, $A41, 'Lista Movimenti'!$E:$E, "Risparmio", 'Lista Movimenti'!$D:$D, "&gt;=01/06/2026", 'Lista Movimenti'!$D:$D, "&lt;=30/06/2026")</f>
        <v>0</v>
      </c>
      <c r="C41" s="33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22.5" customHeight="1">
      <c r="A42" s="28" t="s">
        <v>19</v>
      </c>
      <c r="B42" s="33">
        <f>SUMIFS('Lista Movimenti'!$C:$C, 'Lista Movimenti'!$B:$B, $A42, 'Lista Movimenti'!$E:$E, "Risparmio", 'Lista Movimenti'!$D:$D, "&gt;=01/06/2026", 'Lista Movimenti'!$D:$D, "&lt;=30/06/2026")</f>
        <v>0</v>
      </c>
      <c r="C42" s="33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22.5" customHeight="1">
      <c r="A43" s="28" t="s">
        <v>22</v>
      </c>
      <c r="B43" s="33">
        <f>SUMIFS('Lista Movimenti'!$C:$C, 'Lista Movimenti'!$B:$B, $A43, 'Lista Movimenti'!$E:$E, "Risparmio", 'Lista Movimenti'!$D:$D, "&gt;=01/06/2026", 'Lista Movimenti'!$D:$D, "&lt;=30/06/2026")</f>
        <v>0</v>
      </c>
      <c r="C43" s="33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22.5" customHeight="1">
      <c r="A44" s="28" t="s">
        <v>16</v>
      </c>
      <c r="B44" s="33">
        <f>SUMIFS('Lista Movimenti'!$C:$C, 'Lista Movimenti'!$B:$B, $A44, 'Lista Movimenti'!$E:$E, "Risparmio", 'Lista Movimenti'!$D:$D, "&gt;=01/06/2026", 'Lista Movimenti'!$D:$D, "&lt;=30/06/2026")</f>
        <v>0</v>
      </c>
      <c r="C44" s="33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22.5" customHeight="1">
      <c r="A45" s="28" t="s">
        <v>12</v>
      </c>
      <c r="B45" s="33">
        <f>SUMIFS('Lista Movimenti'!$C:$C, 'Lista Movimenti'!$B:$B, $A45, 'Lista Movimenti'!$E:$E, "Risparmio", 'Lista Movimenti'!$D:$D, "&gt;=01/06/2026", 'Lista Movimenti'!$D:$D, "&lt;=30/06/2026")</f>
        <v>0</v>
      </c>
      <c r="C45" s="33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22.5" customHeight="1">
      <c r="A46" s="28" t="s">
        <v>8</v>
      </c>
      <c r="B46" s="33">
        <f>SUMIFS('Lista Movimenti'!$C:$C, 'Lista Movimenti'!$B:$B, $A46, 'Lista Movimenti'!$E:$E, "Risparmio", 'Lista Movimenti'!$D:$D, "&gt;=01/06/2026", 'Lista Movimenti'!$D:$D, "&lt;=30/06/2026")</f>
        <v>0</v>
      </c>
      <c r="C46" s="33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22.5" customHeight="1">
      <c r="A47" s="28" t="s">
        <v>13</v>
      </c>
      <c r="B47" s="33">
        <f>SUMIFS('Lista Movimenti'!$C:$C, 'Lista Movimenti'!$B:$B, $A47, 'Lista Movimenti'!$E:$E, "Risparmio", 'Lista Movimenti'!$D:$D, "&gt;=01/06/2026", 'Lista Movimenti'!$D:$D, "&lt;=30/06/2026")</f>
        <v>0</v>
      </c>
      <c r="C47" s="33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22.5" customHeight="1">
      <c r="A48" s="28" t="s">
        <v>11</v>
      </c>
      <c r="B48" s="33">
        <f>SUMIFS('Lista Movimenti'!$C:$C, 'Lista Movimenti'!$B:$B, $A48, 'Lista Movimenti'!$E:$E, "Risparmio", 'Lista Movimenti'!$D:$D, "&gt;=01/06/2026", 'Lista Movimenti'!$D:$D, "&lt;=30/06/2026")</f>
        <v>0</v>
      </c>
      <c r="C48" s="33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22.5" customHeight="1">
      <c r="A49" s="28" t="s">
        <v>5</v>
      </c>
      <c r="B49" s="33">
        <f>SUMIFS('Lista Movimenti'!$C:$C, 'Lista Movimenti'!$B:$B, $A49, 'Lista Movimenti'!$E:$E, "Risparmio", 'Lista Movimenti'!$D:$D, "&gt;=01/06/2026", 'Lista Movimenti'!$D:$D, "&lt;=30/06/2026")</f>
        <v>0</v>
      </c>
      <c r="C49" s="33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22.5" customHeight="1">
      <c r="A50" s="28" t="s">
        <v>18</v>
      </c>
      <c r="B50" s="33">
        <f>SUMIFS('Lista Movimenti'!$C:$C, 'Lista Movimenti'!$B:$B, $A50, 'Lista Movimenti'!$E:$E, "Risparmio", 'Lista Movimenti'!$D:$D, "&gt;=01/06/2026", 'Lista Movimenti'!$D:$D, "&lt;=30/06/2026")</f>
        <v>0</v>
      </c>
      <c r="C50" s="33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22.5" customHeight="1">
      <c r="A51" s="28" t="s">
        <v>17</v>
      </c>
      <c r="B51" s="33">
        <f>SUMIFS('Lista Movimenti'!$C:$C, 'Lista Movimenti'!$B:$B, $A51, 'Lista Movimenti'!$E:$E, "Risparmio", 'Lista Movimenti'!$D:$D, "&gt;=01/06/2026", 'Lista Movimenti'!$D:$D, "&lt;=30/06/2026")</f>
        <v>0</v>
      </c>
      <c r="C51" s="33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22.5" customHeight="1">
      <c r="A52" s="28" t="s">
        <v>7</v>
      </c>
      <c r="B52" s="33">
        <f>SUMIFS('Lista Movimenti'!$C:$C, 'Lista Movimenti'!$B:$B, $A52, 'Lista Movimenti'!$E:$E, "Risparmio", 'Lista Movimenti'!$D:$D, "&gt;=01/06/2026", 'Lista Movimenti'!$D:$D, "&lt;=30/06/2026")</f>
        <v>0</v>
      </c>
      <c r="C52" s="33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22.5" customHeight="1">
      <c r="A53" s="28" t="s">
        <v>20</v>
      </c>
      <c r="B53" s="33">
        <f>SUMIFS('Lista Movimenti'!$C:$C, 'Lista Movimenti'!$B:$B, $A53, 'Lista Movimenti'!$E:$E, "Risparmio", 'Lista Movimenti'!$D:$D, "&gt;=01/06/2026", 'Lista Movimenti'!$D:$D, "&lt;=30/06/2026")</f>
        <v>0</v>
      </c>
      <c r="C53" s="33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22.5" customHeight="1">
      <c r="A54" s="28" t="s">
        <v>21</v>
      </c>
      <c r="B54" s="33">
        <f>SUMIFS('Lista Movimenti'!$C:$C, 'Lista Movimenti'!$B:$B, $A54, 'Lista Movimenti'!$E:$E, "Risparmio", 'Lista Movimenti'!$D:$D, "&gt;=01/06/2026", 'Lista Movimenti'!$D:$D, "&lt;=30/06/2026")</f>
        <v>0</v>
      </c>
      <c r="C54" s="33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22.5" customHeight="1">
      <c r="A55" s="32" t="s">
        <v>49</v>
      </c>
      <c r="B55" s="33">
        <f>SUM(Risparmi_6[Totale])</f>
        <v>0</v>
      </c>
      <c r="C55" s="33">
        <f>SUM(Risparmi_6[Obiettivo])</f>
        <v>0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56">
        <v>0.0</v>
      </c>
      <c r="T55" s="19"/>
      <c r="U55" s="19"/>
      <c r="V55" s="19"/>
      <c r="W55" s="19"/>
    </row>
  </sheetData>
  <conditionalFormatting sqref="C34">
    <cfRule type="cellIs" dxfId="9" priority="1" operator="greaterThan">
      <formula>0</formula>
    </cfRule>
  </conditionalFormatting>
  <conditionalFormatting sqref="C34">
    <cfRule type="cellIs" dxfId="10" priority="2" operator="lessThan">
      <formula>0</formula>
    </cfRule>
  </conditionalFormatting>
  <conditionalFormatting sqref="D34 A34:B34">
    <cfRule type="expression" dxfId="11" priority="3">
      <formula>$C34&gt;0</formula>
    </cfRule>
  </conditionalFormatting>
  <conditionalFormatting sqref="D34 A34:B34">
    <cfRule type="expression" dxfId="12" priority="4">
      <formula>$C34&lt;0</formula>
    </cfRule>
  </conditionalFormatting>
  <conditionalFormatting sqref="P6">
    <cfRule type="notContainsBlanks" dxfId="13" priority="5">
      <formula>LEN(TRIM(P6))&gt;0</formula>
    </cfRule>
  </conditionalFormatting>
  <dataValidations>
    <dataValidation type="list" allowBlank="1" sqref="A4:A7">
      <formula1>#REF!</formula1>
    </dataValidation>
    <dataValidation type="custom" allowBlank="1" showDropDown="1" sqref="B4:C7 C13:D34 B38:C54">
      <formula1>AND(ISNUMBER(B4),(NOT(OR(NOT(ISERROR(DATEVALUE(B4))), AND(ISNUMBER(B4), LEFT(CELL("format", B4))="D")))))</formula1>
    </dataValidation>
    <dataValidation type="list" allowBlank="1" sqref="B13:B34 A38:A54">
      <formula1>#REF!</formula1>
    </dataValidation>
  </dataValidations>
  <drawing r:id="rId1"/>
  <tableParts count="3"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25"/>
    <col customWidth="1" min="2" max="2" width="25.38"/>
    <col customWidth="1" min="3" max="3" width="16.25"/>
    <col customWidth="1" min="4" max="4" width="17.0"/>
  </cols>
  <sheetData>
    <row r="1" ht="108.0" customHeight="1">
      <c r="A1" s="14" t="s">
        <v>50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>
      <c r="A2" s="17"/>
      <c r="B2" s="18"/>
      <c r="C2" s="17"/>
      <c r="D2" s="19"/>
      <c r="E2" s="19"/>
      <c r="F2" s="20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ht="22.5" customHeight="1">
      <c r="A3" s="21" t="s">
        <v>1</v>
      </c>
      <c r="B3" s="22" t="s">
        <v>51</v>
      </c>
      <c r="C3" s="23" t="s">
        <v>38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ht="22.5" customHeight="1">
      <c r="A4" s="24" t="s">
        <v>20</v>
      </c>
      <c r="B4" s="25">
        <f>SUMIFS('Lista Movimenti'!$C:$C, 'Lista Movimenti'!$B:$B, $A4, 'Lista Movimenti'!$D:$D, "&gt;="&amp;DATE(2026,7,1), 'Lista Movimenti'!$D:$D, "&lt;="&amp;DATE(2026,7,31))</f>
        <v>1000</v>
      </c>
      <c r="C4" s="5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ht="22.5" customHeight="1">
      <c r="A5" s="28" t="s">
        <v>21</v>
      </c>
      <c r="B5" s="25">
        <f>SUMIFS('Lista Movimenti'!$C:$C, 'Lista Movimenti'!$B:$B, $A5, 'Lista Movimenti'!$D:$D, "&gt;="&amp;DATE(2026,7,1), 'Lista Movimenti'!$D:$D, "&lt;="&amp;DATE(2026,7,31))</f>
        <v>0</v>
      </c>
      <c r="C5" s="33"/>
      <c r="D5" s="19"/>
      <c r="E5" s="17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ht="22.5" customHeight="1">
      <c r="A6" s="31"/>
      <c r="B6" s="25">
        <f>SUMIFS('Lista Movimenti'!$C:$C, 'Lista Movimenti'!$B:$B, $A6, 'Lista Movimenti'!$D:$D, "&gt;="&amp;DATE(2026,7,1), 'Lista Movimenti'!$D:$D, "&lt;="&amp;DATE(2026,7,31))</f>
        <v>0</v>
      </c>
      <c r="C6" s="33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ht="22.5" customHeight="1">
      <c r="A7" s="31"/>
      <c r="B7" s="25">
        <f>SUMIFS('Lista Movimenti'!$C:$C, 'Lista Movimenti'!$B:$B, $A7, 'Lista Movimenti'!$D:$D, "&gt;="&amp;DATE(2026,7,1), 'Lista Movimenti'!$D:$D, "&lt;="&amp;DATE(2026,7,31))</f>
        <v>0</v>
      </c>
      <c r="C7" s="33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22.5" customHeight="1">
      <c r="A8" s="60"/>
      <c r="B8" s="61">
        <f>SUM(Entrate_Lug[Totale])</f>
        <v>1000</v>
      </c>
      <c r="C8" s="61">
        <f>SUM(Entrate_Lug[Obiettivo])</f>
        <v>0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>
      <c r="A9" s="19"/>
      <c r="B9" s="35"/>
      <c r="C9" s="36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>
      <c r="A10" s="37"/>
      <c r="B10" s="37"/>
      <c r="C10" s="37"/>
      <c r="D10" s="17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>
      <c r="A11" s="37"/>
      <c r="B11" s="37"/>
      <c r="C11" s="37"/>
      <c r="D11" s="17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ht="22.5" customHeight="1">
      <c r="A12" s="23" t="s">
        <v>41</v>
      </c>
      <c r="B12" s="22" t="s">
        <v>1</v>
      </c>
      <c r="C12" s="23" t="s">
        <v>51</v>
      </c>
      <c r="D12" s="23" t="s">
        <v>38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ht="22.5" customHeight="1">
      <c r="A13" s="38"/>
      <c r="B13" s="28" t="s">
        <v>15</v>
      </c>
      <c r="C13" s="33">
        <f>SUMIFS('Lista Movimenti'!$C:$C, 'Lista Movimenti'!$B:$B, $B13, 'Lista Movimenti'!$E:$E, "Spesa", 'Lista Movimenti'!$D:$D, "&gt;=01/07/2026", 'Lista Movimenti'!$D:$D, "&lt;=31/07/2026")</f>
        <v>399</v>
      </c>
      <c r="D13" s="39">
        <v>200.0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ht="22.5" customHeight="1">
      <c r="A14" s="38"/>
      <c r="B14" s="28" t="s">
        <v>10</v>
      </c>
      <c r="C14" s="33">
        <f>SUMIFS('Lista Movimenti'!$C:$C, 'Lista Movimenti'!$B:$B, $B14, 'Lista Movimenti'!$E:$E, "Spesa", 'Lista Movimenti'!$D:$D, "&gt;=01/07/2026", 'Lista Movimenti'!$D:$D, "&lt;=31/07/2026")</f>
        <v>200</v>
      </c>
      <c r="D14" s="39">
        <v>280.0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ht="22.5" customHeight="1">
      <c r="A15" s="38"/>
      <c r="B15" s="28" t="s">
        <v>23</v>
      </c>
      <c r="C15" s="33">
        <f>SUMIFS('Lista Movimenti'!$C:$C, 'Lista Movimenti'!$B:$B, $B15, 'Lista Movimenti'!$E:$E, "Spesa", 'Lista Movimenti'!$D:$D, "&gt;=01/07/2026", 'Lista Movimenti'!$D:$D, "&lt;=31/07/2026")</f>
        <v>0</v>
      </c>
      <c r="D15" s="39">
        <v>50.0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ht="22.5" customHeight="1">
      <c r="A16" s="38"/>
      <c r="B16" s="28" t="s">
        <v>14</v>
      </c>
      <c r="C16" s="33">
        <f>SUMIFS('Lista Movimenti'!$C:$C, 'Lista Movimenti'!$B:$B, $B16, 'Lista Movimenti'!$E:$E, "Spesa", 'Lista Movimenti'!$D:$D, "&gt;=01/07/2026", 'Lista Movimenti'!$D:$D, "&lt;=31/07/2026")</f>
        <v>0</v>
      </c>
      <c r="D16" s="39">
        <v>40.0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ht="22.5" customHeight="1">
      <c r="A17" s="38"/>
      <c r="B17" s="28" t="s">
        <v>19</v>
      </c>
      <c r="C17" s="33">
        <f>SUMIFS('Lista Movimenti'!$C:$C, 'Lista Movimenti'!$B:$B, $B17, 'Lista Movimenti'!$E:$E, "Spesa", 'Lista Movimenti'!$D:$D, "&gt;=01/07/2026", 'Lista Movimenti'!$D:$D, "&lt;=31/07/2026")</f>
        <v>0</v>
      </c>
      <c r="D17" s="39">
        <v>15.0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ht="22.5" customHeight="1">
      <c r="A18" s="38"/>
      <c r="B18" s="28" t="s">
        <v>22</v>
      </c>
      <c r="C18" s="33">
        <f>SUMIFS('Lista Movimenti'!$C:$C, 'Lista Movimenti'!$B:$B, $B18, 'Lista Movimenti'!$E:$E, "Spesa", 'Lista Movimenti'!$D:$D, "&gt;=01/07/2026", 'Lista Movimenti'!$D:$D, "&lt;=31/07/2026")</f>
        <v>0</v>
      </c>
      <c r="D18" s="39">
        <v>45.0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ht="22.5" customHeight="1">
      <c r="A19" s="38"/>
      <c r="B19" s="28" t="s">
        <v>16</v>
      </c>
      <c r="C19" s="33">
        <f>SUMIFS('Lista Movimenti'!$C:$C, 'Lista Movimenti'!$B:$B, $B19, 'Lista Movimenti'!$E:$E, "Spesa", 'Lista Movimenti'!$D:$D, "&gt;=01/07/2026", 'Lista Movimenti'!$D:$D, "&lt;=31/07/2026")</f>
        <v>0</v>
      </c>
      <c r="D19" s="39">
        <v>35.0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ht="22.5" customHeight="1">
      <c r="A20" s="41" t="s">
        <v>42</v>
      </c>
      <c r="B20" s="42" t="s">
        <v>43</v>
      </c>
      <c r="C20" s="43">
        <f t="shared" ref="C20:D20" si="1">SUM(C13:C19)</f>
        <v>599</v>
      </c>
      <c r="D20" s="43">
        <f t="shared" si="1"/>
        <v>665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ht="22.5" customHeight="1">
      <c r="A21" s="38"/>
      <c r="B21" s="31"/>
      <c r="C21" s="33"/>
      <c r="D21" s="33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ht="22.5" customHeight="1">
      <c r="A22" s="45" t="s">
        <v>44</v>
      </c>
      <c r="B22" s="46" t="s">
        <v>45</v>
      </c>
      <c r="C22" s="47" t="s">
        <v>51</v>
      </c>
      <c r="D22" s="47" t="s">
        <v>38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22.5" customHeight="1">
      <c r="A23" s="38"/>
      <c r="B23" s="28" t="s">
        <v>12</v>
      </c>
      <c r="C23" s="39">
        <f>SUMIFS('Lista Movimenti'!$C:$C, 'Lista Movimenti'!$B:$B, $B23, 'Lista Movimenti'!$E:$E, "Spesa", 'Lista Movimenti'!$D:$D, "&gt;=01/07/2026", 'Lista Movimenti'!$D:$D, "&lt;=31/07/2026")</f>
        <v>12</v>
      </c>
      <c r="D23" s="39">
        <v>22.0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ht="22.5" customHeight="1">
      <c r="A24" s="38"/>
      <c r="B24" s="28" t="s">
        <v>8</v>
      </c>
      <c r="C24" s="39">
        <f>SUMIFS('Lista Movimenti'!$C:$C, 'Lista Movimenti'!$B:$B, $B24, 'Lista Movimenti'!$E:$E, "Spesa", 'Lista Movimenti'!$D:$D, "&gt;=01/07/2026", 'Lista Movimenti'!$D:$D, "&lt;=31/07/2026")</f>
        <v>0</v>
      </c>
      <c r="D24" s="39">
        <v>85.0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ht="22.5" customHeight="1">
      <c r="A25" s="38"/>
      <c r="B25" s="28" t="s">
        <v>13</v>
      </c>
      <c r="C25" s="39">
        <f>SUMIFS('Lista Movimenti'!$C:$C, 'Lista Movimenti'!$B:$B, $B25, 'Lista Movimenti'!$E:$E, "Spesa", 'Lista Movimenti'!$D:$D, "&gt;=01/07/2026", 'Lista Movimenti'!$D:$D, "&lt;=31/07/2026")</f>
        <v>120</v>
      </c>
      <c r="D25" s="39">
        <v>24.0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ht="22.5" customHeight="1">
      <c r="A26" s="38"/>
      <c r="B26" s="28" t="s">
        <v>11</v>
      </c>
      <c r="C26" s="39">
        <f>SUMIFS('Lista Movimenti'!$C:$C, 'Lista Movimenti'!$B:$B, $B26, 'Lista Movimenti'!$E:$E, "Spesa", 'Lista Movimenti'!$D:$D, "&gt;=01/07/2026", 'Lista Movimenti'!$D:$D, "&lt;=31/07/2026")</f>
        <v>0</v>
      </c>
      <c r="D26" s="39">
        <v>20.0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ht="22.5" customHeight="1">
      <c r="A27" s="38"/>
      <c r="B27" s="28" t="s">
        <v>5</v>
      </c>
      <c r="C27" s="39">
        <f>SUMIFS('Lista Movimenti'!$C:$C, 'Lista Movimenti'!$B:$B, $B27, 'Lista Movimenti'!$E:$E, "Spesa", 'Lista Movimenti'!$D:$D, "&gt;=01/07/2026", 'Lista Movimenti'!$D:$D, "&lt;=31/07/2026")</f>
        <v>120</v>
      </c>
      <c r="D27" s="39">
        <v>60.0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ht="22.5" customHeight="1">
      <c r="A28" s="38"/>
      <c r="B28" s="28" t="s">
        <v>18</v>
      </c>
      <c r="C28" s="39">
        <f>SUMIFS('Lista Movimenti'!$C:$C, 'Lista Movimenti'!$B:$B, $B28, 'Lista Movimenti'!$E:$E, "Spesa", 'Lista Movimenti'!$D:$D, "&gt;=01/07/2026", 'Lista Movimenti'!$D:$D, "&lt;=31/07/2026")</f>
        <v>0</v>
      </c>
      <c r="D28" s="39">
        <v>40.0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ht="22.5" customHeight="1">
      <c r="A29" s="38"/>
      <c r="B29" s="28" t="s">
        <v>17</v>
      </c>
      <c r="C29" s="39">
        <f>SUMIFS('Lista Movimenti'!$C:$C, 'Lista Movimenti'!$B:$B, $B29, 'Lista Movimenti'!$E:$E, "Spesa", 'Lista Movimenti'!$D:$D, "&gt;=01/07/2026", 'Lista Movimenti'!$D:$D, "&lt;=31/07/2026")</f>
        <v>20</v>
      </c>
      <c r="D29" s="39">
        <v>95.0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ht="22.5" customHeight="1">
      <c r="A30" s="38"/>
      <c r="B30" s="28" t="s">
        <v>7</v>
      </c>
      <c r="C30" s="39">
        <f>SUMIFS('Lista Movimenti'!$C:$C, 'Lista Movimenti'!$B:$B, $B30, 'Lista Movimenti'!$E:$E, "Spesa", 'Lista Movimenti'!$D:$D, "&gt;=01/07/2026", 'Lista Movimenti'!$D:$D, "&lt;=31/07/2026")</f>
        <v>30</v>
      </c>
      <c r="D30" s="39">
        <v>13.0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ht="22.5" customHeight="1">
      <c r="A31" s="45" t="s">
        <v>46</v>
      </c>
      <c r="B31" s="46" t="s">
        <v>45</v>
      </c>
      <c r="C31" s="48">
        <f t="shared" ref="C31:D31" si="2">SUM(C23:C30)</f>
        <v>302</v>
      </c>
      <c r="D31" s="48">
        <f t="shared" si="2"/>
        <v>359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ht="22.5" customHeight="1">
      <c r="A32" s="38"/>
      <c r="B32" s="31"/>
      <c r="C32" s="33"/>
      <c r="D32" s="33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ht="22.5" customHeight="1">
      <c r="A33" s="50" t="s">
        <v>47</v>
      </c>
      <c r="B33" s="51"/>
      <c r="C33" s="52">
        <f t="shared" ref="C33:D33" si="3">(C31 + C20)</f>
        <v>901</v>
      </c>
      <c r="D33" s="52">
        <f t="shared" si="3"/>
        <v>1024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ht="22.5" customHeight="1">
      <c r="A34" s="32" t="s">
        <v>48</v>
      </c>
      <c r="B34" s="31"/>
      <c r="C34" s="33">
        <f>(B8-C33)</f>
        <v>99</v>
      </c>
      <c r="D34" s="33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>
      <c r="A35" s="19"/>
      <c r="B35" s="55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>
      <c r="A36" s="17"/>
      <c r="B36" s="18"/>
      <c r="C36" s="17"/>
      <c r="D36" s="17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ht="22.5" customHeight="1">
      <c r="A37" s="23" t="s">
        <v>1</v>
      </c>
      <c r="B37" s="22" t="s">
        <v>51</v>
      </c>
      <c r="C37" s="23" t="s">
        <v>38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22.5" customHeight="1">
      <c r="A38" s="28" t="s">
        <v>15</v>
      </c>
      <c r="B38" s="33">
        <f>SUMIFS('Lista Movimenti'!$C:$C, 'Lista Movimenti'!$B:$B, $A38, 'Lista Movimenti'!$E:$E, "Risparmio", 'Lista Movimenti'!$D:$D, "&gt;=01/07/2026", 'Lista Movimenti'!$D:$D, "&lt;=31/07/2026")</f>
        <v>0</v>
      </c>
      <c r="C38" s="33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22.5" customHeight="1">
      <c r="A39" s="28" t="s">
        <v>10</v>
      </c>
      <c r="B39" s="33">
        <f>SUMIFS('Lista Movimenti'!$C:$C, 'Lista Movimenti'!$B:$B, $A39, 'Lista Movimenti'!$E:$E, "Risparmio", 'Lista Movimenti'!$D:$D, "&gt;=01/07/2026", 'Lista Movimenti'!$D:$D, "&lt;=31/07/2026")</f>
        <v>0</v>
      </c>
      <c r="C39" s="33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22.5" customHeight="1">
      <c r="A40" s="28" t="s">
        <v>23</v>
      </c>
      <c r="B40" s="33">
        <f>SUMIFS('Lista Movimenti'!$C:$C, 'Lista Movimenti'!$B:$B, $A40, 'Lista Movimenti'!$E:$E, "Risparmio", 'Lista Movimenti'!$D:$D, "&gt;=01/07/2026", 'Lista Movimenti'!$D:$D, "&lt;=31/07/2026")</f>
        <v>0</v>
      </c>
      <c r="C40" s="33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22.5" customHeight="1">
      <c r="A41" s="28" t="s">
        <v>14</v>
      </c>
      <c r="B41" s="33">
        <f>SUMIFS('Lista Movimenti'!$C:$C, 'Lista Movimenti'!$B:$B, $A41, 'Lista Movimenti'!$E:$E, "Risparmio", 'Lista Movimenti'!$D:$D, "&gt;=01/07/2026", 'Lista Movimenti'!$D:$D, "&lt;=31/07/2026")</f>
        <v>0</v>
      </c>
      <c r="C41" s="33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22.5" customHeight="1">
      <c r="A42" s="28" t="s">
        <v>19</v>
      </c>
      <c r="B42" s="33">
        <f>SUMIFS('Lista Movimenti'!$C:$C, 'Lista Movimenti'!$B:$B, $A42, 'Lista Movimenti'!$E:$E, "Risparmio", 'Lista Movimenti'!$D:$D, "&gt;=01/07/2026", 'Lista Movimenti'!$D:$D, "&lt;=31/07/2026")</f>
        <v>0</v>
      </c>
      <c r="C42" s="33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22.5" customHeight="1">
      <c r="A43" s="28" t="s">
        <v>22</v>
      </c>
      <c r="B43" s="33">
        <f>SUMIFS('Lista Movimenti'!$C:$C, 'Lista Movimenti'!$B:$B, $A43, 'Lista Movimenti'!$E:$E, "Risparmio", 'Lista Movimenti'!$D:$D, "&gt;=01/07/2026", 'Lista Movimenti'!$D:$D, "&lt;=31/07/2026")</f>
        <v>0</v>
      </c>
      <c r="C43" s="33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22.5" customHeight="1">
      <c r="A44" s="28" t="s">
        <v>16</v>
      </c>
      <c r="B44" s="33">
        <f>SUMIFS('Lista Movimenti'!$C:$C, 'Lista Movimenti'!$B:$B, $A44, 'Lista Movimenti'!$E:$E, "Risparmio", 'Lista Movimenti'!$D:$D, "&gt;=01/07/2026", 'Lista Movimenti'!$D:$D, "&lt;=31/07/2026")</f>
        <v>0</v>
      </c>
      <c r="C44" s="33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22.5" customHeight="1">
      <c r="A45" s="28" t="s">
        <v>12</v>
      </c>
      <c r="B45" s="33">
        <f>SUMIFS('Lista Movimenti'!$C:$C, 'Lista Movimenti'!$B:$B, $A45, 'Lista Movimenti'!$E:$E, "Risparmio", 'Lista Movimenti'!$D:$D, "&gt;=01/07/2026", 'Lista Movimenti'!$D:$D, "&lt;=31/07/2026")</f>
        <v>0</v>
      </c>
      <c r="C45" s="33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22.5" customHeight="1">
      <c r="A46" s="28" t="s">
        <v>8</v>
      </c>
      <c r="B46" s="33">
        <f>SUMIFS('Lista Movimenti'!$C:$C, 'Lista Movimenti'!$B:$B, $A46, 'Lista Movimenti'!$E:$E, "Risparmio", 'Lista Movimenti'!$D:$D, "&gt;=01/07/2026", 'Lista Movimenti'!$D:$D, "&lt;=31/07/2026")</f>
        <v>0</v>
      </c>
      <c r="C46" s="33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22.5" customHeight="1">
      <c r="A47" s="28" t="s">
        <v>13</v>
      </c>
      <c r="B47" s="33">
        <f>SUMIFS('Lista Movimenti'!$C:$C, 'Lista Movimenti'!$B:$B, $A47, 'Lista Movimenti'!$E:$E, "Risparmio", 'Lista Movimenti'!$D:$D, "&gt;=01/07/2026", 'Lista Movimenti'!$D:$D, "&lt;=31/07/2026")</f>
        <v>0</v>
      </c>
      <c r="C47" s="33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22.5" customHeight="1">
      <c r="A48" s="28" t="s">
        <v>11</v>
      </c>
      <c r="B48" s="33">
        <f>SUMIFS('Lista Movimenti'!$C:$C, 'Lista Movimenti'!$B:$B, $A48, 'Lista Movimenti'!$E:$E, "Risparmio", 'Lista Movimenti'!$D:$D, "&gt;=01/07/2026", 'Lista Movimenti'!$D:$D, "&lt;=31/07/2026")</f>
        <v>100</v>
      </c>
      <c r="C48" s="33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22.5" customHeight="1">
      <c r="A49" s="28" t="s">
        <v>5</v>
      </c>
      <c r="B49" s="33">
        <f>SUMIFS('Lista Movimenti'!$C:$C, 'Lista Movimenti'!$B:$B, $A49, 'Lista Movimenti'!$E:$E, "Risparmio", 'Lista Movimenti'!$D:$D, "&gt;=01/07/2026", 'Lista Movimenti'!$D:$D, "&lt;=31/07/2026")</f>
        <v>0</v>
      </c>
      <c r="C49" s="33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22.5" customHeight="1">
      <c r="A50" s="28" t="s">
        <v>18</v>
      </c>
      <c r="B50" s="33">
        <f>SUMIFS('Lista Movimenti'!$C:$C, 'Lista Movimenti'!$B:$B, $A50, 'Lista Movimenti'!$E:$E, "Risparmio", 'Lista Movimenti'!$D:$D, "&gt;=01/07/2026", 'Lista Movimenti'!$D:$D, "&lt;=31/07/2026")</f>
        <v>0</v>
      </c>
      <c r="C50" s="33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22.5" customHeight="1">
      <c r="A51" s="28" t="s">
        <v>17</v>
      </c>
      <c r="B51" s="33">
        <f>SUMIFS('Lista Movimenti'!$C:$C, 'Lista Movimenti'!$B:$B, $A51, 'Lista Movimenti'!$E:$E, "Risparmio", 'Lista Movimenti'!$D:$D, "&gt;=01/07/2026", 'Lista Movimenti'!$D:$D, "&lt;=31/07/2026")</f>
        <v>0</v>
      </c>
      <c r="C51" s="33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22.5" customHeight="1">
      <c r="A52" s="28" t="s">
        <v>7</v>
      </c>
      <c r="B52" s="33">
        <f>SUMIFS('Lista Movimenti'!$C:$C, 'Lista Movimenti'!$B:$B, $A52, 'Lista Movimenti'!$E:$E, "Risparmio", 'Lista Movimenti'!$D:$D, "&gt;=01/07/2026", 'Lista Movimenti'!$D:$D, "&lt;=31/07/2026")</f>
        <v>0</v>
      </c>
      <c r="C52" s="33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22.5" customHeight="1">
      <c r="A53" s="28" t="s">
        <v>20</v>
      </c>
      <c r="B53" s="33">
        <f>SUMIFS('Lista Movimenti'!$C:$C, 'Lista Movimenti'!$B:$B, $A53, 'Lista Movimenti'!$E:$E, "Risparmio", 'Lista Movimenti'!$D:$D, "&gt;=01/07/2026", 'Lista Movimenti'!$D:$D, "&lt;=31/07/2026")</f>
        <v>0</v>
      </c>
      <c r="C53" s="33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22.5" customHeight="1">
      <c r="A54" s="28" t="s">
        <v>21</v>
      </c>
      <c r="B54" s="33">
        <f>SUMIFS('Lista Movimenti'!$C:$C, 'Lista Movimenti'!$B:$B, $A54, 'Lista Movimenti'!$E:$E, "Risparmio", 'Lista Movimenti'!$D:$D, "&gt;=01/07/2026", 'Lista Movimenti'!$D:$D, "&lt;=31/07/2026")</f>
        <v>0</v>
      </c>
      <c r="C54" s="33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22.5" customHeight="1">
      <c r="A55" s="32" t="s">
        <v>49</v>
      </c>
      <c r="B55" s="33">
        <f>SUM(Risparmi_7[Totale])</f>
        <v>100</v>
      </c>
      <c r="C55" s="33">
        <f>SUM(Risparmi_7[Obiettivo])</f>
        <v>0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56">
        <v>0.0</v>
      </c>
      <c r="T55" s="19"/>
      <c r="U55" s="19"/>
      <c r="V55" s="19"/>
      <c r="W55" s="19"/>
    </row>
  </sheetData>
  <conditionalFormatting sqref="C34">
    <cfRule type="cellIs" dxfId="9" priority="1" operator="greaterThan">
      <formula>0</formula>
    </cfRule>
  </conditionalFormatting>
  <conditionalFormatting sqref="C34">
    <cfRule type="cellIs" dxfId="10" priority="2" operator="lessThan">
      <formula>0</formula>
    </cfRule>
  </conditionalFormatting>
  <conditionalFormatting sqref="D34 A34:B34">
    <cfRule type="expression" dxfId="11" priority="3">
      <formula>$C34&gt;0</formula>
    </cfRule>
  </conditionalFormatting>
  <conditionalFormatting sqref="D34 A34:B34">
    <cfRule type="expression" dxfId="12" priority="4">
      <formula>$C34&lt;0</formula>
    </cfRule>
  </conditionalFormatting>
  <conditionalFormatting sqref="P6">
    <cfRule type="notContainsBlanks" dxfId="13" priority="5">
      <formula>LEN(TRIM(P6))&gt;0</formula>
    </cfRule>
  </conditionalFormatting>
  <dataValidations>
    <dataValidation type="list" allowBlank="1" sqref="A4:A7">
      <formula1>#REF!</formula1>
    </dataValidation>
    <dataValidation type="custom" allowBlank="1" showDropDown="1" sqref="B4:C7 C13:D34 B38:C54">
      <formula1>AND(ISNUMBER(B4),(NOT(OR(NOT(ISERROR(DATEVALUE(B4))), AND(ISNUMBER(B4), LEFT(CELL("format", B4))="D")))))</formula1>
    </dataValidation>
    <dataValidation type="list" allowBlank="1" sqref="B13:B34 A38:A54">
      <formula1>#REF!</formula1>
    </dataValidation>
  </dataValidations>
  <drawing r:id="rId1"/>
  <tableParts count="3"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25"/>
    <col customWidth="1" min="2" max="2" width="25.38"/>
    <col customWidth="1" min="3" max="3" width="16.25"/>
    <col customWidth="1" min="4" max="4" width="17.0"/>
  </cols>
  <sheetData>
    <row r="1" ht="108.0" customHeight="1">
      <c r="A1" s="14" t="s">
        <v>50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>
      <c r="A2" s="17"/>
      <c r="B2" s="18"/>
      <c r="C2" s="17"/>
      <c r="D2" s="19"/>
      <c r="E2" s="19"/>
      <c r="F2" s="20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ht="22.5" customHeight="1">
      <c r="A3" s="21" t="s">
        <v>1</v>
      </c>
      <c r="B3" s="22" t="s">
        <v>51</v>
      </c>
      <c r="C3" s="23" t="s">
        <v>38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ht="22.5" customHeight="1">
      <c r="A4" s="24" t="s">
        <v>20</v>
      </c>
      <c r="B4" s="25">
        <f>SUMIFS('Lista Movimenti'!$C:$C, 'Lista Movimenti'!$B:$B, $A4, 'Lista Movimenti'!$D:$D, "&gt;="&amp;DATE(2026,8,1), 'Lista Movimenti'!$D:$D, "&lt;="&amp;DATE(2026,8,31))</f>
        <v>1250</v>
      </c>
      <c r="C4" s="5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ht="22.5" customHeight="1">
      <c r="A5" s="28" t="s">
        <v>21</v>
      </c>
      <c r="B5" s="25">
        <f>SUMIFS('Lista Movimenti'!$C:$C, 'Lista Movimenti'!$B:$B, $A5, 'Lista Movimenti'!$D:$D, "&gt;="&amp;DATE(2026,8,1), 'Lista Movimenti'!$D:$D, "&lt;="&amp;DATE(2026,8,31))</f>
        <v>60</v>
      </c>
      <c r="C5" s="33"/>
      <c r="D5" s="19"/>
      <c r="E5" s="17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ht="22.5" customHeight="1">
      <c r="A6" s="31"/>
      <c r="B6" s="25">
        <f>SUMIFS('Lista Movimenti'!$C:$C, 'Lista Movimenti'!$B:$B, $A6, 'Lista Movimenti'!$D:$D, "&gt;="&amp;DATE(2026,8,1), 'Lista Movimenti'!$D:$D, "&lt;="&amp;DATE(2026,8,31))</f>
        <v>0</v>
      </c>
      <c r="C6" s="33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ht="22.5" customHeight="1">
      <c r="A7" s="31"/>
      <c r="B7" s="25">
        <f>SUMIFS('Lista Movimenti'!$C:$C, 'Lista Movimenti'!$B:$B, $A7, 'Lista Movimenti'!$D:$D, "&gt;="&amp;DATE(2026,8,1), 'Lista Movimenti'!$D:$D, "&lt;="&amp;DATE(2026,8,31))</f>
        <v>0</v>
      </c>
      <c r="C7" s="33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22.5" customHeight="1">
      <c r="A8" s="60"/>
      <c r="B8" s="61">
        <f>SUM(Entrate_Ago[Totale])</f>
        <v>1310</v>
      </c>
      <c r="C8" s="61">
        <f>SUM(Entrate_Ago[Obiettivo])</f>
        <v>0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>
      <c r="A9" s="19"/>
      <c r="B9" s="35"/>
      <c r="C9" s="36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>
      <c r="A10" s="37"/>
      <c r="B10" s="37"/>
      <c r="C10" s="37"/>
      <c r="D10" s="17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>
      <c r="A11" s="37"/>
      <c r="B11" s="37"/>
      <c r="C11" s="37"/>
      <c r="D11" s="17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ht="22.5" customHeight="1">
      <c r="A12" s="23" t="s">
        <v>41</v>
      </c>
      <c r="B12" s="22" t="s">
        <v>1</v>
      </c>
      <c r="C12" s="23" t="s">
        <v>51</v>
      </c>
      <c r="D12" s="23" t="s">
        <v>38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ht="22.5" customHeight="1">
      <c r="A13" s="38"/>
      <c r="B13" s="28" t="s">
        <v>15</v>
      </c>
      <c r="C13" s="33">
        <f>SUMIFS('Lista Movimenti'!$C:$C, 'Lista Movimenti'!$B:$B, $B13, 'Lista Movimenti'!$E:$E, "Spesa", 'Lista Movimenti'!$D:$D, "&gt;=01/08/2026", 'Lista Movimenti'!$D:$D, "&lt;=31/08/2026")</f>
        <v>0</v>
      </c>
      <c r="D13" s="39">
        <v>200.0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ht="22.5" customHeight="1">
      <c r="A14" s="38"/>
      <c r="B14" s="28" t="s">
        <v>10</v>
      </c>
      <c r="C14" s="33">
        <f>SUMIFS('Lista Movimenti'!$C:$C, 'Lista Movimenti'!$B:$B, $B14, 'Lista Movimenti'!$E:$E, "Spesa", 'Lista Movimenti'!$D:$D, "&gt;=01/08/2026", 'Lista Movimenti'!$D:$D, "&lt;=31/08/2026")</f>
        <v>0</v>
      </c>
      <c r="D14" s="39">
        <v>280.0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ht="22.5" customHeight="1">
      <c r="A15" s="38"/>
      <c r="B15" s="28" t="s">
        <v>23</v>
      </c>
      <c r="C15" s="33">
        <f>SUMIFS('Lista Movimenti'!$C:$C, 'Lista Movimenti'!$B:$B, $B15, 'Lista Movimenti'!$E:$E, "Spesa", 'Lista Movimenti'!$D:$D, "&gt;=01/08/2026", 'Lista Movimenti'!$D:$D, "&lt;=31/08/2026")</f>
        <v>0</v>
      </c>
      <c r="D15" s="39">
        <v>50.0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ht="22.5" customHeight="1">
      <c r="A16" s="38"/>
      <c r="B16" s="28" t="s">
        <v>14</v>
      </c>
      <c r="C16" s="33">
        <f>SUMIFS('Lista Movimenti'!$C:$C, 'Lista Movimenti'!$B:$B, $B16, 'Lista Movimenti'!$E:$E, "Spesa", 'Lista Movimenti'!$D:$D, "&gt;=01/08/2026", 'Lista Movimenti'!$D:$D, "&lt;=31/08/2026")</f>
        <v>55</v>
      </c>
      <c r="D16" s="39">
        <v>40.0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ht="22.5" customHeight="1">
      <c r="A17" s="38"/>
      <c r="B17" s="28" t="s">
        <v>19</v>
      </c>
      <c r="C17" s="33">
        <f>SUMIFS('Lista Movimenti'!$C:$C, 'Lista Movimenti'!$B:$B, $B17, 'Lista Movimenti'!$E:$E, "Spesa", 'Lista Movimenti'!$D:$D, "&gt;=01/08/2026", 'Lista Movimenti'!$D:$D, "&lt;=31/08/2026")</f>
        <v>0</v>
      </c>
      <c r="D17" s="39">
        <v>15.0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ht="22.5" customHeight="1">
      <c r="A18" s="38"/>
      <c r="B18" s="28" t="s">
        <v>22</v>
      </c>
      <c r="C18" s="33">
        <f>SUMIFS('Lista Movimenti'!$C:$C, 'Lista Movimenti'!$B:$B, $B18, 'Lista Movimenti'!$E:$E, "Spesa", 'Lista Movimenti'!$D:$D, "&gt;=01/08/2026", 'Lista Movimenti'!$D:$D, "&lt;=31/08/2026")</f>
        <v>0</v>
      </c>
      <c r="D18" s="39">
        <v>45.0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ht="22.5" customHeight="1">
      <c r="A19" s="38"/>
      <c r="B19" s="28" t="s">
        <v>16</v>
      </c>
      <c r="C19" s="33">
        <f>SUMIFS('Lista Movimenti'!$C:$C, 'Lista Movimenti'!$B:$B, $B19, 'Lista Movimenti'!$E:$E, "Spesa", 'Lista Movimenti'!$D:$D, "&gt;=01/08/2026", 'Lista Movimenti'!$D:$D, "&lt;=31/08/2026")</f>
        <v>0</v>
      </c>
      <c r="D19" s="39">
        <v>35.0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ht="22.5" customHeight="1">
      <c r="A20" s="41" t="s">
        <v>42</v>
      </c>
      <c r="B20" s="42" t="s">
        <v>43</v>
      </c>
      <c r="C20" s="43">
        <f t="shared" ref="C20:D20" si="1">SUM(C13:C19)</f>
        <v>55</v>
      </c>
      <c r="D20" s="43">
        <f t="shared" si="1"/>
        <v>665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ht="22.5" customHeight="1">
      <c r="A21" s="38"/>
      <c r="B21" s="31"/>
      <c r="C21" s="33"/>
      <c r="D21" s="33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ht="22.5" customHeight="1">
      <c r="A22" s="45" t="s">
        <v>44</v>
      </c>
      <c r="B22" s="46" t="s">
        <v>45</v>
      </c>
      <c r="C22" s="47" t="s">
        <v>51</v>
      </c>
      <c r="D22" s="47" t="s">
        <v>38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22.5" customHeight="1">
      <c r="A23" s="38"/>
      <c r="B23" s="28" t="s">
        <v>12</v>
      </c>
      <c r="C23" s="39">
        <f>SUMIFS('Lista Movimenti'!$C:$C, 'Lista Movimenti'!$B:$B, $B23, 'Lista Movimenti'!$E:$E, "Spesa", 'Lista Movimenti'!$D:$D, "&gt;=01/08/2026", 'Lista Movimenti'!$D:$D, "&lt;=31/08/2026")</f>
        <v>0</v>
      </c>
      <c r="D23" s="39">
        <v>22.0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ht="22.5" customHeight="1">
      <c r="A24" s="38"/>
      <c r="B24" s="28" t="s">
        <v>8</v>
      </c>
      <c r="C24" s="39">
        <f>SUMIFS('Lista Movimenti'!$C:$C, 'Lista Movimenti'!$B:$B, $B24, 'Lista Movimenti'!$E:$E, "Spesa", 'Lista Movimenti'!$D:$D, "&gt;=01/08/2026", 'Lista Movimenti'!$D:$D, "&lt;=31/08/2026")</f>
        <v>0</v>
      </c>
      <c r="D24" s="39">
        <v>85.0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ht="22.5" customHeight="1">
      <c r="A25" s="38"/>
      <c r="B25" s="28" t="s">
        <v>13</v>
      </c>
      <c r="C25" s="39">
        <f>SUMIFS('Lista Movimenti'!$C:$C, 'Lista Movimenti'!$B:$B, $B25, 'Lista Movimenti'!$E:$E, "Spesa", 'Lista Movimenti'!$D:$D, "&gt;=01/08/2026", 'Lista Movimenti'!$D:$D, "&lt;=31/08/2026")</f>
        <v>0</v>
      </c>
      <c r="D25" s="39">
        <v>24.0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ht="22.5" customHeight="1">
      <c r="A26" s="38"/>
      <c r="B26" s="28" t="s">
        <v>11</v>
      </c>
      <c r="C26" s="39">
        <f>SUMIFS('Lista Movimenti'!$C:$C, 'Lista Movimenti'!$B:$B, $B26, 'Lista Movimenti'!$E:$E, "Spesa", 'Lista Movimenti'!$D:$D, "&gt;=01/08/2026", 'Lista Movimenti'!$D:$D, "&lt;=31/08/2026")</f>
        <v>0</v>
      </c>
      <c r="D26" s="39">
        <v>20.0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ht="22.5" customHeight="1">
      <c r="A27" s="38"/>
      <c r="B27" s="28" t="s">
        <v>5</v>
      </c>
      <c r="C27" s="39">
        <f>SUMIFS('Lista Movimenti'!$C:$C, 'Lista Movimenti'!$B:$B, $B27, 'Lista Movimenti'!$E:$E, "Spesa", 'Lista Movimenti'!$D:$D, "&gt;=01/08/2026", 'Lista Movimenti'!$D:$D, "&lt;=31/08/2026")</f>
        <v>0</v>
      </c>
      <c r="D27" s="39">
        <v>60.0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ht="22.5" customHeight="1">
      <c r="A28" s="38"/>
      <c r="B28" s="28" t="s">
        <v>18</v>
      </c>
      <c r="C28" s="39">
        <f>SUMIFS('Lista Movimenti'!$C:$C, 'Lista Movimenti'!$B:$B, $B28, 'Lista Movimenti'!$E:$E, "Spesa", 'Lista Movimenti'!$D:$D, "&gt;=01/08/2026", 'Lista Movimenti'!$D:$D, "&lt;=31/08/2026")</f>
        <v>10</v>
      </c>
      <c r="D28" s="39">
        <v>40.0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ht="22.5" customHeight="1">
      <c r="A29" s="38"/>
      <c r="B29" s="28" t="s">
        <v>17</v>
      </c>
      <c r="C29" s="39">
        <f>SUMIFS('Lista Movimenti'!$C:$C, 'Lista Movimenti'!$B:$B, $B29, 'Lista Movimenti'!$E:$E, "Spesa", 'Lista Movimenti'!$D:$D, "&gt;=01/08/2026", 'Lista Movimenti'!$D:$D, "&lt;=31/08/2026")</f>
        <v>0</v>
      </c>
      <c r="D29" s="39">
        <v>95.0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ht="22.5" customHeight="1">
      <c r="A30" s="38"/>
      <c r="B30" s="28" t="s">
        <v>7</v>
      </c>
      <c r="C30" s="39">
        <f>SUMIFS('Lista Movimenti'!$C:$C, 'Lista Movimenti'!$B:$B, $B30, 'Lista Movimenti'!$E:$E, "Spesa", 'Lista Movimenti'!$D:$D, "&gt;=01/08/2026", 'Lista Movimenti'!$D:$D, "&lt;=31/08/2026")</f>
        <v>0</v>
      </c>
      <c r="D30" s="39">
        <v>13.0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ht="22.5" customHeight="1">
      <c r="A31" s="45" t="s">
        <v>46</v>
      </c>
      <c r="B31" s="46" t="s">
        <v>45</v>
      </c>
      <c r="C31" s="48">
        <f t="shared" ref="C31:D31" si="2">SUM(C23:C30)</f>
        <v>10</v>
      </c>
      <c r="D31" s="48">
        <f t="shared" si="2"/>
        <v>359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ht="22.5" customHeight="1">
      <c r="A32" s="38"/>
      <c r="B32" s="31"/>
      <c r="C32" s="33"/>
      <c r="D32" s="33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ht="22.5" customHeight="1">
      <c r="A33" s="50" t="s">
        <v>47</v>
      </c>
      <c r="B33" s="51"/>
      <c r="C33" s="52">
        <f t="shared" ref="C33:D33" si="3">(C31 + C20)</f>
        <v>65</v>
      </c>
      <c r="D33" s="52">
        <f t="shared" si="3"/>
        <v>1024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ht="22.5" customHeight="1">
      <c r="A34" s="32" t="s">
        <v>48</v>
      </c>
      <c r="B34" s="31"/>
      <c r="C34" s="33">
        <f>(B8-C33)</f>
        <v>1245</v>
      </c>
      <c r="D34" s="33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>
      <c r="A35" s="19"/>
      <c r="B35" s="55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>
      <c r="A36" s="17"/>
      <c r="B36" s="18"/>
      <c r="C36" s="17"/>
      <c r="D36" s="17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ht="22.5" customHeight="1">
      <c r="A37" s="23" t="s">
        <v>1</v>
      </c>
      <c r="B37" s="22" t="s">
        <v>51</v>
      </c>
      <c r="C37" s="23" t="s">
        <v>38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22.5" customHeight="1">
      <c r="A38" s="28" t="s">
        <v>15</v>
      </c>
      <c r="B38" s="33">
        <f>SUMIFS('Lista Movimenti'!$C:$C, 'Lista Movimenti'!$B:$B, $A38, 'Lista Movimenti'!$E:$E, "Risparmio", 'Lista Movimenti'!$D:$D, "&gt;=01/08/2026", 'Lista Movimenti'!$D:$D, "&lt;=31/08/2026")</f>
        <v>0</v>
      </c>
      <c r="C38" s="33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22.5" customHeight="1">
      <c r="A39" s="28" t="s">
        <v>10</v>
      </c>
      <c r="B39" s="33">
        <f>SUMIFS('Lista Movimenti'!$C:$C, 'Lista Movimenti'!$B:$B, $A39, 'Lista Movimenti'!$E:$E, "Risparmio", 'Lista Movimenti'!$D:$D, "&gt;=01/08/2026", 'Lista Movimenti'!$D:$D, "&lt;=31/08/2026")</f>
        <v>0</v>
      </c>
      <c r="C39" s="33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22.5" customHeight="1">
      <c r="A40" s="28" t="s">
        <v>23</v>
      </c>
      <c r="B40" s="33">
        <f>SUMIFS('Lista Movimenti'!$C:$C, 'Lista Movimenti'!$B:$B, $A40, 'Lista Movimenti'!$E:$E, "Risparmio", 'Lista Movimenti'!$D:$D, "&gt;=01/08/2026", 'Lista Movimenti'!$D:$D, "&lt;=31/08/2026")</f>
        <v>0</v>
      </c>
      <c r="C40" s="33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22.5" customHeight="1">
      <c r="A41" s="28" t="s">
        <v>14</v>
      </c>
      <c r="B41" s="33">
        <f>SUMIFS('Lista Movimenti'!$C:$C, 'Lista Movimenti'!$B:$B, $A41, 'Lista Movimenti'!$E:$E, "Risparmio", 'Lista Movimenti'!$D:$D, "&gt;=01/08/2026", 'Lista Movimenti'!$D:$D, "&lt;=31/08/2026")</f>
        <v>0</v>
      </c>
      <c r="C41" s="33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22.5" customHeight="1">
      <c r="A42" s="28" t="s">
        <v>19</v>
      </c>
      <c r="B42" s="33">
        <f>SUMIFS('Lista Movimenti'!$C:$C, 'Lista Movimenti'!$B:$B, $A42, 'Lista Movimenti'!$E:$E, "Risparmio", 'Lista Movimenti'!$D:$D, "&gt;=01/08/2026", 'Lista Movimenti'!$D:$D, "&lt;=31/08/2026")</f>
        <v>0</v>
      </c>
      <c r="C42" s="33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22.5" customHeight="1">
      <c r="A43" s="28" t="s">
        <v>22</v>
      </c>
      <c r="B43" s="33">
        <f>SUMIFS('Lista Movimenti'!$C:$C, 'Lista Movimenti'!$B:$B, $A43, 'Lista Movimenti'!$E:$E, "Risparmio", 'Lista Movimenti'!$D:$D, "&gt;=01/08/2026", 'Lista Movimenti'!$D:$D, "&lt;=31/08/2026")</f>
        <v>0</v>
      </c>
      <c r="C43" s="33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22.5" customHeight="1">
      <c r="A44" s="28" t="s">
        <v>16</v>
      </c>
      <c r="B44" s="33">
        <f>SUMIFS('Lista Movimenti'!$C:$C, 'Lista Movimenti'!$B:$B, $A44, 'Lista Movimenti'!$E:$E, "Risparmio", 'Lista Movimenti'!$D:$D, "&gt;=01/08/2026", 'Lista Movimenti'!$D:$D, "&lt;=31/08/2026")</f>
        <v>0</v>
      </c>
      <c r="C44" s="33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22.5" customHeight="1">
      <c r="A45" s="28" t="s">
        <v>12</v>
      </c>
      <c r="B45" s="33">
        <f>SUMIFS('Lista Movimenti'!$C:$C, 'Lista Movimenti'!$B:$B, $A45, 'Lista Movimenti'!$E:$E, "Risparmio", 'Lista Movimenti'!$D:$D, "&gt;=01/08/2026", 'Lista Movimenti'!$D:$D, "&lt;=31/08/2026")</f>
        <v>0</v>
      </c>
      <c r="C45" s="33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22.5" customHeight="1">
      <c r="A46" s="28" t="s">
        <v>8</v>
      </c>
      <c r="B46" s="33">
        <f>SUMIFS('Lista Movimenti'!$C:$C, 'Lista Movimenti'!$B:$B, $A46, 'Lista Movimenti'!$E:$E, "Risparmio", 'Lista Movimenti'!$D:$D, "&gt;=01/08/2026", 'Lista Movimenti'!$D:$D, "&lt;=31/08/2026")</f>
        <v>0</v>
      </c>
      <c r="C46" s="33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22.5" customHeight="1">
      <c r="A47" s="28" t="s">
        <v>13</v>
      </c>
      <c r="B47" s="33">
        <f>SUMIFS('Lista Movimenti'!$C:$C, 'Lista Movimenti'!$B:$B, $A47, 'Lista Movimenti'!$E:$E, "Risparmio", 'Lista Movimenti'!$D:$D, "&gt;=01/08/2026", 'Lista Movimenti'!$D:$D, "&lt;=31/08/2026")</f>
        <v>0</v>
      </c>
      <c r="C47" s="33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22.5" customHeight="1">
      <c r="A48" s="28" t="s">
        <v>11</v>
      </c>
      <c r="B48" s="33">
        <f>SUMIFS('Lista Movimenti'!$C:$C, 'Lista Movimenti'!$B:$B, $A48, 'Lista Movimenti'!$E:$E, "Risparmio", 'Lista Movimenti'!$D:$D, "&gt;=01/08/2026", 'Lista Movimenti'!$D:$D, "&lt;=31/08/2026")</f>
        <v>0</v>
      </c>
      <c r="C48" s="33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22.5" customHeight="1">
      <c r="A49" s="28" t="s">
        <v>5</v>
      </c>
      <c r="B49" s="33">
        <f>SUMIFS('Lista Movimenti'!$C:$C, 'Lista Movimenti'!$B:$B, $A49, 'Lista Movimenti'!$E:$E, "Risparmio", 'Lista Movimenti'!$D:$D, "&gt;=01/08/2026", 'Lista Movimenti'!$D:$D, "&lt;=31/08/2026")</f>
        <v>0</v>
      </c>
      <c r="C49" s="33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22.5" customHeight="1">
      <c r="A50" s="28" t="s">
        <v>18</v>
      </c>
      <c r="B50" s="33">
        <f>SUMIFS('Lista Movimenti'!$C:$C, 'Lista Movimenti'!$B:$B, $A50, 'Lista Movimenti'!$E:$E, "Risparmio", 'Lista Movimenti'!$D:$D, "&gt;=01/08/2026", 'Lista Movimenti'!$D:$D, "&lt;=31/08/2026")</f>
        <v>0</v>
      </c>
      <c r="C50" s="33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22.5" customHeight="1">
      <c r="A51" s="28" t="s">
        <v>17</v>
      </c>
      <c r="B51" s="33">
        <f>SUMIFS('Lista Movimenti'!$C:$C, 'Lista Movimenti'!$B:$B, $A51, 'Lista Movimenti'!$E:$E, "Risparmio", 'Lista Movimenti'!$D:$D, "&gt;=01/08/2026", 'Lista Movimenti'!$D:$D, "&lt;=31/08/2026")</f>
        <v>0</v>
      </c>
      <c r="C51" s="33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22.5" customHeight="1">
      <c r="A52" s="28" t="s">
        <v>7</v>
      </c>
      <c r="B52" s="33">
        <f>SUMIFS('Lista Movimenti'!$C:$C, 'Lista Movimenti'!$B:$B, $A52, 'Lista Movimenti'!$E:$E, "Risparmio", 'Lista Movimenti'!$D:$D, "&gt;=01/08/2026", 'Lista Movimenti'!$D:$D, "&lt;=31/08/2026")</f>
        <v>0</v>
      </c>
      <c r="C52" s="33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22.5" customHeight="1">
      <c r="A53" s="28" t="s">
        <v>20</v>
      </c>
      <c r="B53" s="33">
        <f>SUMIFS('Lista Movimenti'!$C:$C, 'Lista Movimenti'!$B:$B, $A53, 'Lista Movimenti'!$E:$E, "Risparmio", 'Lista Movimenti'!$D:$D, "&gt;=01/08/2026", 'Lista Movimenti'!$D:$D, "&lt;=31/08/2026")</f>
        <v>0</v>
      </c>
      <c r="C53" s="33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22.5" customHeight="1">
      <c r="A54" s="28" t="s">
        <v>21</v>
      </c>
      <c r="B54" s="33">
        <f>SUMIFS('Lista Movimenti'!$C:$C, 'Lista Movimenti'!$B:$B, $A54, 'Lista Movimenti'!$E:$E, "Risparmio", 'Lista Movimenti'!$D:$D, "&gt;=01/08/2026", 'Lista Movimenti'!$D:$D, "&lt;=31/08/2026")</f>
        <v>0</v>
      </c>
      <c r="C54" s="33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22.5" customHeight="1">
      <c r="A55" s="32" t="s">
        <v>49</v>
      </c>
      <c r="B55" s="33">
        <f>SUM(Risparmi_8[Totale])</f>
        <v>0</v>
      </c>
      <c r="C55" s="33">
        <f>SUM(Risparmi_8[Obiettivo])</f>
        <v>0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56">
        <v>0.0</v>
      </c>
      <c r="T55" s="19"/>
      <c r="U55" s="19"/>
      <c r="V55" s="19"/>
      <c r="W55" s="19"/>
    </row>
  </sheetData>
  <conditionalFormatting sqref="C34">
    <cfRule type="cellIs" dxfId="9" priority="1" operator="greaterThan">
      <formula>0</formula>
    </cfRule>
  </conditionalFormatting>
  <conditionalFormatting sqref="C34">
    <cfRule type="cellIs" dxfId="10" priority="2" operator="lessThan">
      <formula>0</formula>
    </cfRule>
  </conditionalFormatting>
  <conditionalFormatting sqref="D34 A34:B34">
    <cfRule type="expression" dxfId="11" priority="3">
      <formula>$C34&gt;0</formula>
    </cfRule>
  </conditionalFormatting>
  <conditionalFormatting sqref="D34 A34:B34">
    <cfRule type="expression" dxfId="12" priority="4">
      <formula>$C34&lt;0</formula>
    </cfRule>
  </conditionalFormatting>
  <conditionalFormatting sqref="P6">
    <cfRule type="notContainsBlanks" dxfId="13" priority="5">
      <formula>LEN(TRIM(P6))&gt;0</formula>
    </cfRule>
  </conditionalFormatting>
  <dataValidations>
    <dataValidation type="list" allowBlank="1" sqref="A4:A7">
      <formula1>#REF!</formula1>
    </dataValidation>
    <dataValidation type="custom" allowBlank="1" showDropDown="1" sqref="B4:C7 C13:D34 B38:C54">
      <formula1>AND(ISNUMBER(B4),(NOT(OR(NOT(ISERROR(DATEVALUE(B4))), AND(ISNUMBER(B4), LEFT(CELL("format", B4))="D")))))</formula1>
    </dataValidation>
    <dataValidation type="list" allowBlank="1" sqref="B13:B34 A38:A54">
      <formula1>#REF!</formula1>
    </dataValidation>
  </dataValidations>
  <drawing r:id="rId1"/>
  <tableParts count="3"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25"/>
    <col customWidth="1" min="2" max="2" width="25.38"/>
    <col customWidth="1" min="3" max="3" width="16.25"/>
    <col customWidth="1" min="4" max="4" width="17.0"/>
  </cols>
  <sheetData>
    <row r="1" ht="108.0" customHeight="1">
      <c r="A1" s="14"/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>
      <c r="A2" s="17"/>
      <c r="B2" s="18"/>
      <c r="C2" s="17"/>
      <c r="D2" s="19"/>
      <c r="E2" s="19"/>
      <c r="F2" s="20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ht="22.5" customHeight="1">
      <c r="A3" s="21" t="s">
        <v>1</v>
      </c>
      <c r="B3" s="22" t="s">
        <v>51</v>
      </c>
      <c r="C3" s="23" t="s">
        <v>38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ht="22.5" customHeight="1">
      <c r="A4" s="24" t="s">
        <v>20</v>
      </c>
      <c r="B4" s="25">
        <f>SUMIFS('Lista Movimenti'!$C:$C, 'Lista Movimenti'!$B:$B, $A4, 'Lista Movimenti'!$D:$D, "&gt;="&amp;DATE(2026,9,1), 'Lista Movimenti'!$D:$D, "&lt;="&amp;DATE(2026,9,30))</f>
        <v>1500</v>
      </c>
      <c r="C4" s="5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ht="22.5" customHeight="1">
      <c r="A5" s="28" t="s">
        <v>21</v>
      </c>
      <c r="B5" s="25">
        <f>SUMIFS('Lista Movimenti'!$C:$C, 'Lista Movimenti'!$B:$B, $A5, 'Lista Movimenti'!$D:$D, "&gt;="&amp;DATE(2026,9,1), 'Lista Movimenti'!$D:$D, "&lt;="&amp;DATE(2026,9,30))</f>
        <v>0</v>
      </c>
      <c r="C5" s="33"/>
      <c r="D5" s="19"/>
      <c r="E5" s="17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ht="22.5" customHeight="1">
      <c r="A6" s="31"/>
      <c r="B6" s="25">
        <f>SUMIFS('Lista Movimenti'!$C:$C, 'Lista Movimenti'!$B:$B, $A6, 'Lista Movimenti'!$D:$D, "&gt;="&amp;DATE(2026,9,1), 'Lista Movimenti'!$D:$D, "&lt;="&amp;DATE(2026,9,30))</f>
        <v>0</v>
      </c>
      <c r="C6" s="33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ht="22.5" customHeight="1">
      <c r="A7" s="31"/>
      <c r="B7" s="25">
        <f>SUMIFS('Lista Movimenti'!$C:$C, 'Lista Movimenti'!$B:$B, $A7, 'Lista Movimenti'!$D:$D, "&gt;="&amp;DATE(2026,9,1), 'Lista Movimenti'!$D:$D, "&lt;="&amp;DATE(2026,9,30))</f>
        <v>0</v>
      </c>
      <c r="C7" s="33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22.5" customHeight="1">
      <c r="A8" s="60"/>
      <c r="B8" s="61">
        <f>SUM(Entrate_Set[Totale])</f>
        <v>1500</v>
      </c>
      <c r="C8" s="61">
        <f>SUM(Entrate_Set[Obiettivo])</f>
        <v>0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>
      <c r="A9" s="19"/>
      <c r="B9" s="35"/>
      <c r="C9" s="36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>
      <c r="A10" s="37"/>
      <c r="B10" s="37"/>
      <c r="C10" s="37"/>
      <c r="D10" s="17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>
      <c r="A11" s="37"/>
      <c r="B11" s="37"/>
      <c r="C11" s="37"/>
      <c r="D11" s="17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ht="22.5" customHeight="1">
      <c r="A12" s="23" t="s">
        <v>41</v>
      </c>
      <c r="B12" s="22" t="s">
        <v>1</v>
      </c>
      <c r="C12" s="23" t="s">
        <v>51</v>
      </c>
      <c r="D12" s="23" t="s">
        <v>38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ht="22.5" customHeight="1">
      <c r="A13" s="38"/>
      <c r="B13" s="28" t="s">
        <v>15</v>
      </c>
      <c r="C13" s="33">
        <f>SUMIFS('Lista Movimenti'!$C:$C, 'Lista Movimenti'!$B:$B, $B13, 'Lista Movimenti'!$E:$E, "Spesa", 'Lista Movimenti'!$D:$D, "&gt;=01/09/2026", 'Lista Movimenti'!$D:$D, "&lt;=30/09/2026")</f>
        <v>0</v>
      </c>
      <c r="D13" s="39">
        <v>200.0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ht="22.5" customHeight="1">
      <c r="A14" s="38"/>
      <c r="B14" s="28" t="s">
        <v>10</v>
      </c>
      <c r="C14" s="33">
        <f>SUMIFS('Lista Movimenti'!$C:$C, 'Lista Movimenti'!$B:$B, $B14, 'Lista Movimenti'!$E:$E, "Spesa", 'Lista Movimenti'!$D:$D, "&gt;=01/09/2026", 'Lista Movimenti'!$D:$D, "&lt;=30/09/2026")</f>
        <v>0</v>
      </c>
      <c r="D14" s="39">
        <v>280.0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ht="22.5" customHeight="1">
      <c r="A15" s="38"/>
      <c r="B15" s="28" t="s">
        <v>23</v>
      </c>
      <c r="C15" s="33">
        <f>SUMIFS('Lista Movimenti'!$C:$C, 'Lista Movimenti'!$B:$B, $B15, 'Lista Movimenti'!$E:$E, "Spesa", 'Lista Movimenti'!$D:$D, "&gt;=01/09/2026", 'Lista Movimenti'!$D:$D, "&lt;=30/09/2026")</f>
        <v>0</v>
      </c>
      <c r="D15" s="39">
        <v>50.0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ht="22.5" customHeight="1">
      <c r="A16" s="38"/>
      <c r="B16" s="28" t="s">
        <v>14</v>
      </c>
      <c r="C16" s="33">
        <f>SUMIFS('Lista Movimenti'!$C:$C, 'Lista Movimenti'!$B:$B, $B16, 'Lista Movimenti'!$E:$E, "Spesa", 'Lista Movimenti'!$D:$D, "&gt;=01/09/2026", 'Lista Movimenti'!$D:$D, "&lt;=30/09/2026")</f>
        <v>0</v>
      </c>
      <c r="D16" s="39">
        <v>40.0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ht="22.5" customHeight="1">
      <c r="A17" s="38"/>
      <c r="B17" s="28" t="s">
        <v>19</v>
      </c>
      <c r="C17" s="33">
        <f>SUMIFS('Lista Movimenti'!$C:$C, 'Lista Movimenti'!$B:$B, $B17, 'Lista Movimenti'!$E:$E, "Spesa", 'Lista Movimenti'!$D:$D, "&gt;=01/09/2026", 'Lista Movimenti'!$D:$D, "&lt;=30/09/2026")</f>
        <v>0</v>
      </c>
      <c r="D17" s="39">
        <v>15.0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ht="22.5" customHeight="1">
      <c r="A18" s="38"/>
      <c r="B18" s="28" t="s">
        <v>22</v>
      </c>
      <c r="C18" s="33">
        <f>SUMIFS('Lista Movimenti'!$C:$C, 'Lista Movimenti'!$B:$B, $B18, 'Lista Movimenti'!$E:$E, "Spesa", 'Lista Movimenti'!$D:$D, "&gt;=01/09/2026", 'Lista Movimenti'!$D:$D, "&lt;=30/09/2026")</f>
        <v>0</v>
      </c>
      <c r="D18" s="39">
        <v>45.0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ht="22.5" customHeight="1">
      <c r="A19" s="38"/>
      <c r="B19" s="28" t="s">
        <v>16</v>
      </c>
      <c r="C19" s="33">
        <f>SUMIFS('Lista Movimenti'!$C:$C, 'Lista Movimenti'!$B:$B, $B19, 'Lista Movimenti'!$E:$E, "Spesa", 'Lista Movimenti'!$D:$D, "&gt;=01/09/2026", 'Lista Movimenti'!$D:$D, "&lt;=30/09/2026")</f>
        <v>0</v>
      </c>
      <c r="D19" s="39">
        <v>35.0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ht="22.5" customHeight="1">
      <c r="A20" s="41" t="s">
        <v>42</v>
      </c>
      <c r="B20" s="42" t="s">
        <v>43</v>
      </c>
      <c r="C20" s="43">
        <f t="shared" ref="C20:D20" si="1">SUM(C13:C19)</f>
        <v>0</v>
      </c>
      <c r="D20" s="43">
        <f t="shared" si="1"/>
        <v>665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ht="22.5" customHeight="1">
      <c r="A21" s="38"/>
      <c r="B21" s="31"/>
      <c r="C21" s="33"/>
      <c r="D21" s="33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ht="22.5" customHeight="1">
      <c r="A22" s="45" t="s">
        <v>44</v>
      </c>
      <c r="B22" s="46" t="s">
        <v>45</v>
      </c>
      <c r="C22" s="47" t="s">
        <v>51</v>
      </c>
      <c r="D22" s="47" t="s">
        <v>38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22.5" customHeight="1">
      <c r="A23" s="38"/>
      <c r="B23" s="28" t="s">
        <v>12</v>
      </c>
      <c r="C23" s="39">
        <f>SUMIFS('Lista Movimenti'!$C:$C, 'Lista Movimenti'!$B:$B, $B23, 'Lista Movimenti'!$E:$E, "Spesa", 'Lista Movimenti'!$D:$D, "&gt;=01/09/2026", 'Lista Movimenti'!$D:$D, "&lt;=30/09/2026")</f>
        <v>0</v>
      </c>
      <c r="D23" s="39">
        <v>22.0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ht="22.5" customHeight="1">
      <c r="A24" s="38"/>
      <c r="B24" s="28" t="s">
        <v>8</v>
      </c>
      <c r="C24" s="39">
        <f>SUMIFS('Lista Movimenti'!$C:$C, 'Lista Movimenti'!$B:$B, $B24, 'Lista Movimenti'!$E:$E, "Spesa", 'Lista Movimenti'!$D:$D, "&gt;=01/09/2026", 'Lista Movimenti'!$D:$D, "&lt;=30/09/2026")</f>
        <v>0</v>
      </c>
      <c r="D24" s="39">
        <v>85.0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ht="22.5" customHeight="1">
      <c r="A25" s="38"/>
      <c r="B25" s="28" t="s">
        <v>13</v>
      </c>
      <c r="C25" s="39">
        <f>SUMIFS('Lista Movimenti'!$C:$C, 'Lista Movimenti'!$B:$B, $B25, 'Lista Movimenti'!$E:$E, "Spesa", 'Lista Movimenti'!$D:$D, "&gt;=01/09/2026", 'Lista Movimenti'!$D:$D, "&lt;=30/09/2026")</f>
        <v>0</v>
      </c>
      <c r="D25" s="39">
        <v>24.0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ht="22.5" customHeight="1">
      <c r="A26" s="38"/>
      <c r="B26" s="28" t="s">
        <v>11</v>
      </c>
      <c r="C26" s="39">
        <f>SUMIFS('Lista Movimenti'!$C:$C, 'Lista Movimenti'!$B:$B, $B26, 'Lista Movimenti'!$E:$E, "Spesa", 'Lista Movimenti'!$D:$D, "&gt;=01/09/2026", 'Lista Movimenti'!$D:$D, "&lt;=30/09/2026")</f>
        <v>0</v>
      </c>
      <c r="D26" s="39">
        <v>20.0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ht="22.5" customHeight="1">
      <c r="A27" s="38"/>
      <c r="B27" s="28" t="s">
        <v>5</v>
      </c>
      <c r="C27" s="39">
        <f>SUMIFS('Lista Movimenti'!$C:$C, 'Lista Movimenti'!$B:$B, $B27, 'Lista Movimenti'!$E:$E, "Spesa", 'Lista Movimenti'!$D:$D, "&gt;=01/09/2026", 'Lista Movimenti'!$D:$D, "&lt;=30/09/2026")</f>
        <v>150</v>
      </c>
      <c r="D27" s="39">
        <v>60.0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ht="22.5" customHeight="1">
      <c r="A28" s="38"/>
      <c r="B28" s="28" t="s">
        <v>18</v>
      </c>
      <c r="C28" s="39">
        <f>SUMIFS('Lista Movimenti'!$C:$C, 'Lista Movimenti'!$B:$B, $B28, 'Lista Movimenti'!$E:$E, "Spesa", 'Lista Movimenti'!$D:$D, "&gt;=01/09/2026", 'Lista Movimenti'!$D:$D, "&lt;=30/09/2026")</f>
        <v>0</v>
      </c>
      <c r="D28" s="39">
        <v>40.0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ht="22.5" customHeight="1">
      <c r="A29" s="38"/>
      <c r="B29" s="28" t="s">
        <v>17</v>
      </c>
      <c r="C29" s="39">
        <f>SUMIFS('Lista Movimenti'!$C:$C, 'Lista Movimenti'!$B:$B, $B29, 'Lista Movimenti'!$E:$E, "Spesa", 'Lista Movimenti'!$D:$D, "&gt;=01/09/2026", 'Lista Movimenti'!$D:$D, "&lt;=30/09/2026")</f>
        <v>0</v>
      </c>
      <c r="D29" s="39">
        <v>95.0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ht="22.5" customHeight="1">
      <c r="A30" s="38"/>
      <c r="B30" s="28" t="s">
        <v>7</v>
      </c>
      <c r="C30" s="39">
        <f>SUMIFS('Lista Movimenti'!$C:$C, 'Lista Movimenti'!$B:$B, $B30, 'Lista Movimenti'!$E:$E, "Spesa", 'Lista Movimenti'!$D:$D, "&gt;=01/09/2026", 'Lista Movimenti'!$D:$D, "&lt;=30/09/2026")</f>
        <v>0</v>
      </c>
      <c r="D30" s="39">
        <v>13.0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ht="22.5" customHeight="1">
      <c r="A31" s="45" t="s">
        <v>46</v>
      </c>
      <c r="B31" s="46" t="s">
        <v>45</v>
      </c>
      <c r="C31" s="48">
        <f t="shared" ref="C31:D31" si="2">SUM(C23:C30)</f>
        <v>150</v>
      </c>
      <c r="D31" s="48">
        <f t="shared" si="2"/>
        <v>359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ht="22.5" customHeight="1">
      <c r="A32" s="38"/>
      <c r="B32" s="31"/>
      <c r="C32" s="33"/>
      <c r="D32" s="33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ht="22.5" customHeight="1">
      <c r="A33" s="50" t="s">
        <v>47</v>
      </c>
      <c r="B33" s="51"/>
      <c r="C33" s="52">
        <f t="shared" ref="C33:D33" si="3">(C31 + C20)</f>
        <v>150</v>
      </c>
      <c r="D33" s="52">
        <f t="shared" si="3"/>
        <v>1024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ht="22.5" customHeight="1">
      <c r="A34" s="32" t="s">
        <v>48</v>
      </c>
      <c r="B34" s="31"/>
      <c r="C34" s="33">
        <f>(B8-C33)</f>
        <v>1350</v>
      </c>
      <c r="D34" s="33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>
      <c r="A35" s="19"/>
      <c r="B35" s="55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>
      <c r="A36" s="17"/>
      <c r="B36" s="18"/>
      <c r="C36" s="17"/>
      <c r="D36" s="17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ht="22.5" customHeight="1">
      <c r="A37" s="23" t="s">
        <v>1</v>
      </c>
      <c r="B37" s="22" t="s">
        <v>51</v>
      </c>
      <c r="C37" s="23" t="s">
        <v>38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22.5" customHeight="1">
      <c r="A38" s="28" t="s">
        <v>15</v>
      </c>
      <c r="B38" s="33">
        <f>SUMIFS('Lista Movimenti'!$C:$C, 'Lista Movimenti'!$B:$B, $A38, 'Lista Movimenti'!$E:$E, "Risparmio", 'Lista Movimenti'!$D:$D, "&gt;=01/09/2026", 'Lista Movimenti'!$D:$D, "&lt;=30/09/2026")</f>
        <v>230</v>
      </c>
      <c r="C38" s="33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22.5" customHeight="1">
      <c r="A39" s="28" t="s">
        <v>10</v>
      </c>
      <c r="B39" s="33">
        <f>SUMIFS('Lista Movimenti'!$C:$C, 'Lista Movimenti'!$B:$B, $A39, 'Lista Movimenti'!$E:$E, "Risparmio", 'Lista Movimenti'!$D:$D, "&gt;=01/09/2026", 'Lista Movimenti'!$D:$D, "&lt;=30/09/2026")</f>
        <v>0</v>
      </c>
      <c r="C39" s="33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22.5" customHeight="1">
      <c r="A40" s="28" t="s">
        <v>23</v>
      </c>
      <c r="B40" s="33">
        <f>SUMIFS('Lista Movimenti'!$C:$C, 'Lista Movimenti'!$B:$B, $A40, 'Lista Movimenti'!$E:$E, "Risparmio", 'Lista Movimenti'!$D:$D, "&gt;=01/09/2026", 'Lista Movimenti'!$D:$D, "&lt;=30/09/2026")</f>
        <v>0</v>
      </c>
      <c r="C40" s="33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22.5" customHeight="1">
      <c r="A41" s="28" t="s">
        <v>14</v>
      </c>
      <c r="B41" s="33">
        <f>SUMIFS('Lista Movimenti'!$C:$C, 'Lista Movimenti'!$B:$B, $A41, 'Lista Movimenti'!$E:$E, "Risparmio", 'Lista Movimenti'!$D:$D, "&gt;=01/09/2026", 'Lista Movimenti'!$D:$D, "&lt;=30/09/2026")</f>
        <v>0</v>
      </c>
      <c r="C41" s="33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22.5" customHeight="1">
      <c r="A42" s="28" t="s">
        <v>19</v>
      </c>
      <c r="B42" s="33">
        <f>SUMIFS('Lista Movimenti'!$C:$C, 'Lista Movimenti'!$B:$B, $A42, 'Lista Movimenti'!$E:$E, "Risparmio", 'Lista Movimenti'!$D:$D, "&gt;=01/09/2026", 'Lista Movimenti'!$D:$D, "&lt;=30/09/2026")</f>
        <v>0</v>
      </c>
      <c r="C42" s="33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22.5" customHeight="1">
      <c r="A43" s="28" t="s">
        <v>22</v>
      </c>
      <c r="B43" s="33">
        <f>SUMIFS('Lista Movimenti'!$C:$C, 'Lista Movimenti'!$B:$B, $A43, 'Lista Movimenti'!$E:$E, "Risparmio", 'Lista Movimenti'!$D:$D, "&gt;=01/09/2026", 'Lista Movimenti'!$D:$D, "&lt;=30/09/2026")</f>
        <v>0</v>
      </c>
      <c r="C43" s="33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22.5" customHeight="1">
      <c r="A44" s="28" t="s">
        <v>16</v>
      </c>
      <c r="B44" s="33">
        <f>SUMIFS('Lista Movimenti'!$C:$C, 'Lista Movimenti'!$B:$B, $A44, 'Lista Movimenti'!$E:$E, "Risparmio", 'Lista Movimenti'!$D:$D, "&gt;=01/09/2026", 'Lista Movimenti'!$D:$D, "&lt;=30/09/2026")</f>
        <v>0</v>
      </c>
      <c r="C44" s="33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22.5" customHeight="1">
      <c r="A45" s="28" t="s">
        <v>12</v>
      </c>
      <c r="B45" s="33">
        <f>SUMIFS('Lista Movimenti'!$C:$C, 'Lista Movimenti'!$B:$B, $A45, 'Lista Movimenti'!$E:$E, "Risparmio", 'Lista Movimenti'!$D:$D, "&gt;=01/09/2026", 'Lista Movimenti'!$D:$D, "&lt;=30/09/2026")</f>
        <v>0</v>
      </c>
      <c r="C45" s="33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22.5" customHeight="1">
      <c r="A46" s="28" t="s">
        <v>8</v>
      </c>
      <c r="B46" s="33">
        <f>SUMIFS('Lista Movimenti'!$C:$C, 'Lista Movimenti'!$B:$B, $A46, 'Lista Movimenti'!$E:$E, "Risparmio", 'Lista Movimenti'!$D:$D, "&gt;=01/09/2026", 'Lista Movimenti'!$D:$D, "&lt;=30/09/2026")</f>
        <v>0</v>
      </c>
      <c r="C46" s="33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22.5" customHeight="1">
      <c r="A47" s="28" t="s">
        <v>13</v>
      </c>
      <c r="B47" s="33">
        <f>SUMIFS('Lista Movimenti'!$C:$C, 'Lista Movimenti'!$B:$B, $A47, 'Lista Movimenti'!$E:$E, "Risparmio", 'Lista Movimenti'!$D:$D, "&gt;=01/09/2026", 'Lista Movimenti'!$D:$D, "&lt;=30/09/2026")</f>
        <v>0</v>
      </c>
      <c r="C47" s="33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22.5" customHeight="1">
      <c r="A48" s="28" t="s">
        <v>11</v>
      </c>
      <c r="B48" s="33">
        <f>SUMIFS('Lista Movimenti'!$C:$C, 'Lista Movimenti'!$B:$B, $A48, 'Lista Movimenti'!$E:$E, "Risparmio", 'Lista Movimenti'!$D:$D, "&gt;=01/09/2026", 'Lista Movimenti'!$D:$D, "&lt;=30/09/2026")</f>
        <v>0</v>
      </c>
      <c r="C48" s="33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22.5" customHeight="1">
      <c r="A49" s="28" t="s">
        <v>5</v>
      </c>
      <c r="B49" s="33">
        <f>SUMIFS('Lista Movimenti'!$C:$C, 'Lista Movimenti'!$B:$B, $A49, 'Lista Movimenti'!$E:$E, "Risparmio", 'Lista Movimenti'!$D:$D, "&gt;=01/09/2026", 'Lista Movimenti'!$D:$D, "&lt;=30/09/2026")</f>
        <v>0</v>
      </c>
      <c r="C49" s="33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22.5" customHeight="1">
      <c r="A50" s="28" t="s">
        <v>18</v>
      </c>
      <c r="B50" s="33">
        <f>SUMIFS('Lista Movimenti'!$C:$C, 'Lista Movimenti'!$B:$B, $A50, 'Lista Movimenti'!$E:$E, "Risparmio", 'Lista Movimenti'!$D:$D, "&gt;=01/09/2026", 'Lista Movimenti'!$D:$D, "&lt;=30/09/2026")</f>
        <v>0</v>
      </c>
      <c r="C50" s="33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22.5" customHeight="1">
      <c r="A51" s="28" t="s">
        <v>17</v>
      </c>
      <c r="B51" s="33">
        <f>SUMIFS('Lista Movimenti'!$C:$C, 'Lista Movimenti'!$B:$B, $A51, 'Lista Movimenti'!$E:$E, "Risparmio", 'Lista Movimenti'!$D:$D, "&gt;=01/09/2026", 'Lista Movimenti'!$D:$D, "&lt;=30/09/2026")</f>
        <v>0</v>
      </c>
      <c r="C51" s="33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22.5" customHeight="1">
      <c r="A52" s="28" t="s">
        <v>7</v>
      </c>
      <c r="B52" s="33">
        <f>SUMIFS('Lista Movimenti'!$C:$C, 'Lista Movimenti'!$B:$B, $A52, 'Lista Movimenti'!$E:$E, "Risparmio", 'Lista Movimenti'!$D:$D, "&gt;=01/09/2026", 'Lista Movimenti'!$D:$D, "&lt;=30/09/2026")</f>
        <v>0</v>
      </c>
      <c r="C52" s="33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22.5" customHeight="1">
      <c r="A53" s="28" t="s">
        <v>20</v>
      </c>
      <c r="B53" s="33">
        <f>SUMIFS('Lista Movimenti'!$C:$C, 'Lista Movimenti'!$B:$B, $A53, 'Lista Movimenti'!$E:$E, "Risparmio", 'Lista Movimenti'!$D:$D, "&gt;=01/09/2026", 'Lista Movimenti'!$D:$D, "&lt;=30/09/2026")</f>
        <v>0</v>
      </c>
      <c r="C53" s="33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22.5" customHeight="1">
      <c r="A54" s="28" t="s">
        <v>21</v>
      </c>
      <c r="B54" s="33">
        <f>SUMIFS('Lista Movimenti'!$C:$C, 'Lista Movimenti'!$B:$B, $A54, 'Lista Movimenti'!$E:$E, "Risparmio", 'Lista Movimenti'!$D:$D, "&gt;=01/09/2026", 'Lista Movimenti'!$D:$D, "&lt;=30/09/2026")</f>
        <v>0</v>
      </c>
      <c r="C54" s="33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22.5" customHeight="1">
      <c r="A55" s="32" t="s">
        <v>49</v>
      </c>
      <c r="B55" s="33">
        <f>SUM(Risparmi_9[Totale])</f>
        <v>230</v>
      </c>
      <c r="C55" s="33">
        <f>SUM(Risparmi_9[Obiettivo])</f>
        <v>0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56">
        <v>0.0</v>
      </c>
      <c r="T55" s="19"/>
      <c r="U55" s="19"/>
      <c r="V55" s="19"/>
      <c r="W55" s="19"/>
    </row>
  </sheetData>
  <conditionalFormatting sqref="C34">
    <cfRule type="cellIs" dxfId="9" priority="1" operator="greaterThan">
      <formula>0</formula>
    </cfRule>
  </conditionalFormatting>
  <conditionalFormatting sqref="C34">
    <cfRule type="cellIs" dxfId="10" priority="2" operator="lessThan">
      <formula>0</formula>
    </cfRule>
  </conditionalFormatting>
  <conditionalFormatting sqref="D34 A34:B34">
    <cfRule type="expression" dxfId="11" priority="3">
      <formula>$C34&gt;0</formula>
    </cfRule>
  </conditionalFormatting>
  <conditionalFormatting sqref="D34 A34:B34">
    <cfRule type="expression" dxfId="12" priority="4">
      <formula>$C34&lt;0</formula>
    </cfRule>
  </conditionalFormatting>
  <conditionalFormatting sqref="P6">
    <cfRule type="notContainsBlanks" dxfId="13" priority="5">
      <formula>LEN(TRIM(P6))&gt;0</formula>
    </cfRule>
  </conditionalFormatting>
  <dataValidations>
    <dataValidation type="list" allowBlank="1" sqref="A4:A7">
      <formula1>#REF!</formula1>
    </dataValidation>
    <dataValidation type="custom" allowBlank="1" showDropDown="1" sqref="B4:C7 C13:D34 B38:C54">
      <formula1>AND(ISNUMBER(B4),(NOT(OR(NOT(ISERROR(DATEVALUE(B4))), AND(ISNUMBER(B4), LEFT(CELL("format", B4))="D")))))</formula1>
    </dataValidation>
    <dataValidation type="list" allowBlank="1" sqref="B13:B34 A38:A54">
      <formula1>#REF!</formula1>
    </dataValidation>
  </dataValidations>
  <drawing r:id="rId1"/>
  <tableParts count="3"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25"/>
    <col customWidth="1" min="2" max="2" width="25.38"/>
    <col customWidth="1" min="3" max="3" width="16.25"/>
    <col customWidth="1" min="4" max="4" width="17.0"/>
  </cols>
  <sheetData>
    <row r="1" ht="108.0" customHeight="1">
      <c r="A1" s="14"/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>
      <c r="A2" s="17"/>
      <c r="B2" s="18"/>
      <c r="C2" s="17"/>
      <c r="D2" s="19"/>
      <c r="E2" s="19"/>
      <c r="F2" s="20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ht="22.5" customHeight="1">
      <c r="A3" s="21" t="s">
        <v>1</v>
      </c>
      <c r="B3" s="22" t="s">
        <v>51</v>
      </c>
      <c r="C3" s="23" t="s">
        <v>38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ht="22.5" customHeight="1">
      <c r="A4" s="24" t="s">
        <v>20</v>
      </c>
      <c r="B4" s="25">
        <f>SUMIFS('Lista Movimenti'!$C:$C, 'Lista Movimenti'!$B:$B, $A4, 'Lista Movimenti'!$D:$D, "&gt;="&amp;DATE(2026,10,1), 'Lista Movimenti'!$D:$D, "&lt;="&amp;DATE(2026,10,31))</f>
        <v>1600</v>
      </c>
      <c r="C4" s="5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ht="22.5" customHeight="1">
      <c r="A5" s="28" t="s">
        <v>21</v>
      </c>
      <c r="B5" s="25">
        <f>SUMIFS('Lista Movimenti'!$C:$C, 'Lista Movimenti'!$B:$B, $A5, 'Lista Movimenti'!$D:$D, "&gt;="&amp;DATE(2026,10,1), 'Lista Movimenti'!$D:$D, "&lt;="&amp;DATE(2026,10,31))</f>
        <v>20</v>
      </c>
      <c r="C5" s="33"/>
      <c r="D5" s="19"/>
      <c r="E5" s="17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ht="22.5" customHeight="1">
      <c r="A6" s="31"/>
      <c r="B6" s="25">
        <f>SUMIFS('Lista Movimenti'!$C:$C, 'Lista Movimenti'!$B:$B, $A6, 'Lista Movimenti'!$D:$D, "&gt;="&amp;DATE(2026,10,1), 'Lista Movimenti'!$D:$D, "&lt;="&amp;DATE(2026,10,31))</f>
        <v>0</v>
      </c>
      <c r="C6" s="33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ht="22.5" customHeight="1">
      <c r="A7" s="31"/>
      <c r="B7" s="25">
        <f>SUMIFS('Lista Movimenti'!$C:$C, 'Lista Movimenti'!$B:$B, $A7, 'Lista Movimenti'!$D:$D, "&gt;="&amp;DATE(2026,10,1), 'Lista Movimenti'!$D:$D, "&lt;="&amp;DATE(2026,10,31))</f>
        <v>0</v>
      </c>
      <c r="C7" s="33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22.5" customHeight="1">
      <c r="A8" s="60"/>
      <c r="B8" s="61">
        <f>SUM(Entrate_Ott[Totale])</f>
        <v>1620</v>
      </c>
      <c r="C8" s="61">
        <f>SUM(Entrate_Ott[Obiettivo])</f>
        <v>0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>
      <c r="A9" s="19"/>
      <c r="B9" s="35"/>
      <c r="C9" s="36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>
      <c r="A10" s="37"/>
      <c r="B10" s="37"/>
      <c r="C10" s="37"/>
      <c r="D10" s="17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>
      <c r="A11" s="37"/>
      <c r="B11" s="37"/>
      <c r="C11" s="37"/>
      <c r="D11" s="17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ht="22.5" customHeight="1">
      <c r="A12" s="23" t="s">
        <v>41</v>
      </c>
      <c r="B12" s="22" t="s">
        <v>1</v>
      </c>
      <c r="C12" s="23" t="s">
        <v>51</v>
      </c>
      <c r="D12" s="23" t="s">
        <v>38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ht="22.5" customHeight="1">
      <c r="A13" s="38"/>
      <c r="B13" s="28" t="s">
        <v>15</v>
      </c>
      <c r="C13" s="33">
        <f>SUMIFS('Lista Movimenti'!$C:$C, 'Lista Movimenti'!$B:$B, $B13, 'Lista Movimenti'!$E:$E, "Spesa", 'Lista Movimenti'!$D:$D, "&gt;=01/10/2026", 'Lista Movimenti'!$D:$D, "&lt;=31/10/2026")</f>
        <v>0</v>
      </c>
      <c r="D13" s="39">
        <v>200.0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ht="22.5" customHeight="1">
      <c r="A14" s="38"/>
      <c r="B14" s="28" t="s">
        <v>10</v>
      </c>
      <c r="C14" s="33">
        <f>SUMIFS('Lista Movimenti'!$C:$C, 'Lista Movimenti'!$B:$B, $B14, 'Lista Movimenti'!$E:$E, "Spesa", 'Lista Movimenti'!$D:$D, "&gt;=01/10/2026", 'Lista Movimenti'!$D:$D, "&lt;=31/10/2026")</f>
        <v>100</v>
      </c>
      <c r="D14" s="39">
        <v>280.0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ht="22.5" customHeight="1">
      <c r="A15" s="38"/>
      <c r="B15" s="28" t="s">
        <v>23</v>
      </c>
      <c r="C15" s="33">
        <f>SUMIFS('Lista Movimenti'!$C:$C, 'Lista Movimenti'!$B:$B, $B15, 'Lista Movimenti'!$E:$E, "Spesa", 'Lista Movimenti'!$D:$D, "&gt;=01/10/2026", 'Lista Movimenti'!$D:$D, "&lt;=31/10/2026")</f>
        <v>0</v>
      </c>
      <c r="D15" s="39">
        <v>50.0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ht="22.5" customHeight="1">
      <c r="A16" s="38"/>
      <c r="B16" s="28" t="s">
        <v>14</v>
      </c>
      <c r="C16" s="33">
        <f>SUMIFS('Lista Movimenti'!$C:$C, 'Lista Movimenti'!$B:$B, $B16, 'Lista Movimenti'!$E:$E, "Spesa", 'Lista Movimenti'!$D:$D, "&gt;=01/10/2026", 'Lista Movimenti'!$D:$D, "&lt;=31/10/2026")</f>
        <v>0</v>
      </c>
      <c r="D16" s="39">
        <v>40.0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ht="22.5" customHeight="1">
      <c r="A17" s="38"/>
      <c r="B17" s="28" t="s">
        <v>19</v>
      </c>
      <c r="C17" s="33">
        <f>SUMIFS('Lista Movimenti'!$C:$C, 'Lista Movimenti'!$B:$B, $B17, 'Lista Movimenti'!$E:$E, "Spesa", 'Lista Movimenti'!$D:$D, "&gt;=01/10/2026", 'Lista Movimenti'!$D:$D, "&lt;=31/10/2026")</f>
        <v>0</v>
      </c>
      <c r="D17" s="39">
        <v>15.0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ht="22.5" customHeight="1">
      <c r="A18" s="38"/>
      <c r="B18" s="28" t="s">
        <v>22</v>
      </c>
      <c r="C18" s="33">
        <f>SUMIFS('Lista Movimenti'!$C:$C, 'Lista Movimenti'!$B:$B, $B18, 'Lista Movimenti'!$E:$E, "Spesa", 'Lista Movimenti'!$D:$D, "&gt;=01/10/2026", 'Lista Movimenti'!$D:$D, "&lt;=31/10/2026")</f>
        <v>0</v>
      </c>
      <c r="D18" s="39">
        <v>45.0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ht="22.5" customHeight="1">
      <c r="A19" s="38"/>
      <c r="B19" s="28" t="s">
        <v>16</v>
      </c>
      <c r="C19" s="33">
        <f>SUMIFS('Lista Movimenti'!$C:$C, 'Lista Movimenti'!$B:$B, $B19, 'Lista Movimenti'!$E:$E, "Spesa", 'Lista Movimenti'!$D:$D, "&gt;=01/10/2026", 'Lista Movimenti'!$D:$D, "&lt;=31/10/2026")</f>
        <v>0</v>
      </c>
      <c r="D19" s="39">
        <v>35.0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ht="22.5" customHeight="1">
      <c r="A20" s="41" t="s">
        <v>42</v>
      </c>
      <c r="B20" s="42" t="s">
        <v>43</v>
      </c>
      <c r="C20" s="43">
        <f t="shared" ref="C20:D20" si="1">SUM(C13:C19)</f>
        <v>100</v>
      </c>
      <c r="D20" s="43">
        <f t="shared" si="1"/>
        <v>665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ht="22.5" customHeight="1">
      <c r="A21" s="38"/>
      <c r="B21" s="31"/>
      <c r="C21" s="33"/>
      <c r="D21" s="33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ht="22.5" customHeight="1">
      <c r="A22" s="45" t="s">
        <v>44</v>
      </c>
      <c r="B22" s="46" t="s">
        <v>45</v>
      </c>
      <c r="C22" s="47" t="s">
        <v>51</v>
      </c>
      <c r="D22" s="47" t="s">
        <v>38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22.5" customHeight="1">
      <c r="A23" s="38"/>
      <c r="B23" s="28" t="s">
        <v>12</v>
      </c>
      <c r="C23" s="39">
        <f>SUMIFS('Lista Movimenti'!$C:$C, 'Lista Movimenti'!$B:$B, $B23, 'Lista Movimenti'!$E:$E, "Spesa", 'Lista Movimenti'!$D:$D, "&gt;=01/10/2026", 'Lista Movimenti'!$D:$D, "&lt;=31/10/2026")</f>
        <v>0</v>
      </c>
      <c r="D23" s="39">
        <v>22.0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ht="22.5" customHeight="1">
      <c r="A24" s="38"/>
      <c r="B24" s="28" t="s">
        <v>8</v>
      </c>
      <c r="C24" s="39">
        <f>SUMIFS('Lista Movimenti'!$C:$C, 'Lista Movimenti'!$B:$B, $B24, 'Lista Movimenti'!$E:$E, "Spesa", 'Lista Movimenti'!$D:$D, "&gt;=01/10/2026", 'Lista Movimenti'!$D:$D, "&lt;=31/10/2026")</f>
        <v>0</v>
      </c>
      <c r="D24" s="39">
        <v>85.0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ht="22.5" customHeight="1">
      <c r="A25" s="38"/>
      <c r="B25" s="28" t="s">
        <v>13</v>
      </c>
      <c r="C25" s="39">
        <f>SUMIFS('Lista Movimenti'!$C:$C, 'Lista Movimenti'!$B:$B, $B25, 'Lista Movimenti'!$E:$E, "Spesa", 'Lista Movimenti'!$D:$D, "&gt;=01/10/2026", 'Lista Movimenti'!$D:$D, "&lt;=31/10/2026")</f>
        <v>0</v>
      </c>
      <c r="D25" s="39">
        <v>24.0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ht="22.5" customHeight="1">
      <c r="A26" s="38"/>
      <c r="B26" s="28" t="s">
        <v>11</v>
      </c>
      <c r="C26" s="39">
        <f>SUMIFS('Lista Movimenti'!$C:$C, 'Lista Movimenti'!$B:$B, $B26, 'Lista Movimenti'!$E:$E, "Spesa", 'Lista Movimenti'!$D:$D, "&gt;=01/10/2026", 'Lista Movimenti'!$D:$D, "&lt;=31/10/2026")</f>
        <v>0</v>
      </c>
      <c r="D26" s="39">
        <v>20.0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ht="22.5" customHeight="1">
      <c r="A27" s="38"/>
      <c r="B27" s="28" t="s">
        <v>5</v>
      </c>
      <c r="C27" s="39">
        <f>SUMIFS('Lista Movimenti'!$C:$C, 'Lista Movimenti'!$B:$B, $B27, 'Lista Movimenti'!$E:$E, "Spesa", 'Lista Movimenti'!$D:$D, "&gt;=01/10/2026", 'Lista Movimenti'!$D:$D, "&lt;=31/10/2026")</f>
        <v>0</v>
      </c>
      <c r="D27" s="39">
        <v>60.0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ht="22.5" customHeight="1">
      <c r="A28" s="38"/>
      <c r="B28" s="28" t="s">
        <v>18</v>
      </c>
      <c r="C28" s="39">
        <f>SUMIFS('Lista Movimenti'!$C:$C, 'Lista Movimenti'!$B:$B, $B28, 'Lista Movimenti'!$E:$E, "Spesa", 'Lista Movimenti'!$D:$D, "&gt;=01/10/2026", 'Lista Movimenti'!$D:$D, "&lt;=31/10/2026")</f>
        <v>10</v>
      </c>
      <c r="D28" s="39">
        <v>40.0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ht="22.5" customHeight="1">
      <c r="A29" s="38"/>
      <c r="B29" s="28" t="s">
        <v>17</v>
      </c>
      <c r="C29" s="39">
        <f>SUMIFS('Lista Movimenti'!$C:$C, 'Lista Movimenti'!$B:$B, $B29, 'Lista Movimenti'!$E:$E, "Spesa", 'Lista Movimenti'!$D:$D, "&gt;=01/10/2026", 'Lista Movimenti'!$D:$D, "&lt;=31/10/2026")</f>
        <v>0</v>
      </c>
      <c r="D29" s="39">
        <v>95.0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ht="22.5" customHeight="1">
      <c r="A30" s="38"/>
      <c r="B30" s="28" t="s">
        <v>7</v>
      </c>
      <c r="C30" s="39">
        <f>SUMIFS('Lista Movimenti'!$C:$C, 'Lista Movimenti'!$B:$B, $B30, 'Lista Movimenti'!$E:$E, "Spesa", 'Lista Movimenti'!$D:$D, "&gt;=01/10/2026", 'Lista Movimenti'!$D:$D, "&lt;=31/10/2026")</f>
        <v>0</v>
      </c>
      <c r="D30" s="39">
        <v>13.0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ht="22.5" customHeight="1">
      <c r="A31" s="45" t="s">
        <v>46</v>
      </c>
      <c r="B31" s="46" t="s">
        <v>45</v>
      </c>
      <c r="C31" s="48">
        <f t="shared" ref="C31:D31" si="2">SUM(C23:C30)</f>
        <v>10</v>
      </c>
      <c r="D31" s="48">
        <f t="shared" si="2"/>
        <v>359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ht="22.5" customHeight="1">
      <c r="A32" s="38"/>
      <c r="B32" s="31"/>
      <c r="C32" s="33"/>
      <c r="D32" s="33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ht="22.5" customHeight="1">
      <c r="A33" s="50" t="s">
        <v>47</v>
      </c>
      <c r="B33" s="51"/>
      <c r="C33" s="52">
        <f t="shared" ref="C33:D33" si="3">(C31 + C20)</f>
        <v>110</v>
      </c>
      <c r="D33" s="52">
        <f t="shared" si="3"/>
        <v>1024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ht="22.5" customHeight="1">
      <c r="A34" s="32" t="s">
        <v>48</v>
      </c>
      <c r="B34" s="31"/>
      <c r="C34" s="33">
        <f>(B8-C33)</f>
        <v>1510</v>
      </c>
      <c r="D34" s="33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>
      <c r="A35" s="19"/>
      <c r="B35" s="55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>
      <c r="A36" s="17"/>
      <c r="B36" s="18"/>
      <c r="C36" s="17"/>
      <c r="D36" s="17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ht="22.5" customHeight="1">
      <c r="A37" s="23" t="s">
        <v>1</v>
      </c>
      <c r="B37" s="22" t="s">
        <v>51</v>
      </c>
      <c r="C37" s="23" t="s">
        <v>38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22.5" customHeight="1">
      <c r="A38" s="28" t="s">
        <v>15</v>
      </c>
      <c r="B38" s="33">
        <f>SUMIFS('Lista Movimenti'!$C:$C, 'Lista Movimenti'!$B:$B, $A38, 'Lista Movimenti'!$E:$E, "Risparmio", 'Lista Movimenti'!$D:$D, "&gt;=01/10/2026", 'Lista Movimenti'!$D:$D, "&lt;=31/10/2026")</f>
        <v>115</v>
      </c>
      <c r="C38" s="33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22.5" customHeight="1">
      <c r="A39" s="28" t="s">
        <v>10</v>
      </c>
      <c r="B39" s="33">
        <f>SUMIFS('Lista Movimenti'!$C:$C, 'Lista Movimenti'!$B:$B, $A39, 'Lista Movimenti'!$E:$E, "Risparmio", 'Lista Movimenti'!$D:$D, "&gt;=01/10/2026", 'Lista Movimenti'!$D:$D, "&lt;=31/10/2026")</f>
        <v>0</v>
      </c>
      <c r="C39" s="33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22.5" customHeight="1">
      <c r="A40" s="28" t="s">
        <v>23</v>
      </c>
      <c r="B40" s="33">
        <f>SUMIFS('Lista Movimenti'!$C:$C, 'Lista Movimenti'!$B:$B, $A40, 'Lista Movimenti'!$E:$E, "Risparmio", 'Lista Movimenti'!$D:$D, "&gt;=01/10/2026", 'Lista Movimenti'!$D:$D, "&lt;=31/10/2026")</f>
        <v>0</v>
      </c>
      <c r="C40" s="33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22.5" customHeight="1">
      <c r="A41" s="28" t="s">
        <v>14</v>
      </c>
      <c r="B41" s="33">
        <f>SUMIFS('Lista Movimenti'!$C:$C, 'Lista Movimenti'!$B:$B, $A41, 'Lista Movimenti'!$E:$E, "Risparmio", 'Lista Movimenti'!$D:$D, "&gt;=01/10/2026", 'Lista Movimenti'!$D:$D, "&lt;=31/10/2026")</f>
        <v>1500</v>
      </c>
      <c r="C41" s="33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22.5" customHeight="1">
      <c r="A42" s="28" t="s">
        <v>19</v>
      </c>
      <c r="B42" s="33">
        <f>SUMIFS('Lista Movimenti'!$C:$C, 'Lista Movimenti'!$B:$B, $A42, 'Lista Movimenti'!$E:$E, "Risparmio", 'Lista Movimenti'!$D:$D, "&gt;=01/10/2026", 'Lista Movimenti'!$D:$D, "&lt;=31/10/2026")</f>
        <v>0</v>
      </c>
      <c r="C42" s="33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22.5" customHeight="1">
      <c r="A43" s="28" t="s">
        <v>22</v>
      </c>
      <c r="B43" s="33">
        <f>SUMIFS('Lista Movimenti'!$C:$C, 'Lista Movimenti'!$B:$B, $A43, 'Lista Movimenti'!$E:$E, "Risparmio", 'Lista Movimenti'!$D:$D, "&gt;=01/10/2026", 'Lista Movimenti'!$D:$D, "&lt;=31/10/2026")</f>
        <v>0</v>
      </c>
      <c r="C43" s="33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22.5" customHeight="1">
      <c r="A44" s="28" t="s">
        <v>16</v>
      </c>
      <c r="B44" s="33">
        <f>SUMIFS('Lista Movimenti'!$C:$C, 'Lista Movimenti'!$B:$B, $A44, 'Lista Movimenti'!$E:$E, "Risparmio", 'Lista Movimenti'!$D:$D, "&gt;=01/10/2026", 'Lista Movimenti'!$D:$D, "&lt;=31/10/2026")</f>
        <v>0</v>
      </c>
      <c r="C44" s="33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22.5" customHeight="1">
      <c r="A45" s="28" t="s">
        <v>12</v>
      </c>
      <c r="B45" s="33">
        <f>SUMIFS('Lista Movimenti'!$C:$C, 'Lista Movimenti'!$B:$B, $A45, 'Lista Movimenti'!$E:$E, "Risparmio", 'Lista Movimenti'!$D:$D, "&gt;=01/10/2026", 'Lista Movimenti'!$D:$D, "&lt;=31/10/2026")</f>
        <v>0</v>
      </c>
      <c r="C45" s="33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22.5" customHeight="1">
      <c r="A46" s="28" t="s">
        <v>8</v>
      </c>
      <c r="B46" s="33">
        <f>SUMIFS('Lista Movimenti'!$C:$C, 'Lista Movimenti'!$B:$B, $A46, 'Lista Movimenti'!$E:$E, "Risparmio", 'Lista Movimenti'!$D:$D, "&gt;=01/10/2026", 'Lista Movimenti'!$D:$D, "&lt;=31/10/2026")</f>
        <v>0</v>
      </c>
      <c r="C46" s="33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22.5" customHeight="1">
      <c r="A47" s="28" t="s">
        <v>13</v>
      </c>
      <c r="B47" s="33">
        <f>SUMIFS('Lista Movimenti'!$C:$C, 'Lista Movimenti'!$B:$B, $A47, 'Lista Movimenti'!$E:$E, "Risparmio", 'Lista Movimenti'!$D:$D, "&gt;=01/10/2026", 'Lista Movimenti'!$D:$D, "&lt;=31/10/2026")</f>
        <v>0</v>
      </c>
      <c r="C47" s="33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22.5" customHeight="1">
      <c r="A48" s="28" t="s">
        <v>11</v>
      </c>
      <c r="B48" s="33">
        <f>SUMIFS('Lista Movimenti'!$C:$C, 'Lista Movimenti'!$B:$B, $A48, 'Lista Movimenti'!$E:$E, "Risparmio", 'Lista Movimenti'!$D:$D, "&gt;=01/10/2026", 'Lista Movimenti'!$D:$D, "&lt;=31/10/2026")</f>
        <v>175</v>
      </c>
      <c r="C48" s="33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22.5" customHeight="1">
      <c r="A49" s="28" t="s">
        <v>5</v>
      </c>
      <c r="B49" s="33">
        <f>SUMIFS('Lista Movimenti'!$C:$C, 'Lista Movimenti'!$B:$B, $A49, 'Lista Movimenti'!$E:$E, "Risparmio", 'Lista Movimenti'!$D:$D, "&gt;=01/10/2026", 'Lista Movimenti'!$D:$D, "&lt;=31/10/2026")</f>
        <v>0</v>
      </c>
      <c r="C49" s="33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22.5" customHeight="1">
      <c r="A50" s="28" t="s">
        <v>18</v>
      </c>
      <c r="B50" s="33">
        <f>SUMIFS('Lista Movimenti'!$C:$C, 'Lista Movimenti'!$B:$B, $A50, 'Lista Movimenti'!$E:$E, "Risparmio", 'Lista Movimenti'!$D:$D, "&gt;=01/10/2026", 'Lista Movimenti'!$D:$D, "&lt;=31/10/2026")</f>
        <v>0</v>
      </c>
      <c r="C50" s="33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22.5" customHeight="1">
      <c r="A51" s="28" t="s">
        <v>17</v>
      </c>
      <c r="B51" s="33">
        <f>SUMIFS('Lista Movimenti'!$C:$C, 'Lista Movimenti'!$B:$B, $A51, 'Lista Movimenti'!$E:$E, "Risparmio", 'Lista Movimenti'!$D:$D, "&gt;=01/10/2026", 'Lista Movimenti'!$D:$D, "&lt;=31/10/2026")</f>
        <v>0</v>
      </c>
      <c r="C51" s="33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22.5" customHeight="1">
      <c r="A52" s="28" t="s">
        <v>7</v>
      </c>
      <c r="B52" s="33">
        <f>SUMIFS('Lista Movimenti'!$C:$C, 'Lista Movimenti'!$B:$B, $A52, 'Lista Movimenti'!$E:$E, "Risparmio", 'Lista Movimenti'!$D:$D, "&gt;=01/10/2026", 'Lista Movimenti'!$D:$D, "&lt;=31/10/2026")</f>
        <v>0</v>
      </c>
      <c r="C52" s="33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22.5" customHeight="1">
      <c r="A53" s="28" t="s">
        <v>20</v>
      </c>
      <c r="B53" s="33">
        <f>SUMIFS('Lista Movimenti'!$C:$C, 'Lista Movimenti'!$B:$B, $A53, 'Lista Movimenti'!$E:$E, "Risparmio", 'Lista Movimenti'!$D:$D, "&gt;=01/10/2026", 'Lista Movimenti'!$D:$D, "&lt;=31/10/2026")</f>
        <v>0</v>
      </c>
      <c r="C53" s="33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22.5" customHeight="1">
      <c r="A54" s="28" t="s">
        <v>21</v>
      </c>
      <c r="B54" s="33">
        <f>SUMIFS('Lista Movimenti'!$C:$C, 'Lista Movimenti'!$B:$B, $A54, 'Lista Movimenti'!$E:$E, "Risparmio", 'Lista Movimenti'!$D:$D, "&gt;=01/10/2026", 'Lista Movimenti'!$D:$D, "&lt;=31/10/2026")</f>
        <v>0</v>
      </c>
      <c r="C54" s="33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22.5" customHeight="1">
      <c r="A55" s="32" t="s">
        <v>49</v>
      </c>
      <c r="B55" s="33">
        <f>SUM(Risparmi_Ott[Totale])</f>
        <v>1790</v>
      </c>
      <c r="C55" s="33">
        <f>SUM(Risparmi_Ott[Obiettivo])</f>
        <v>0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56">
        <v>0.0</v>
      </c>
      <c r="T55" s="19"/>
      <c r="U55" s="19"/>
      <c r="V55" s="19"/>
      <c r="W55" s="19"/>
    </row>
  </sheetData>
  <conditionalFormatting sqref="C34">
    <cfRule type="cellIs" dxfId="9" priority="1" operator="greaterThan">
      <formula>0</formula>
    </cfRule>
  </conditionalFormatting>
  <conditionalFormatting sqref="C34">
    <cfRule type="cellIs" dxfId="10" priority="2" operator="lessThan">
      <formula>0</formula>
    </cfRule>
  </conditionalFormatting>
  <conditionalFormatting sqref="D34 A34:B34">
    <cfRule type="expression" dxfId="11" priority="3">
      <formula>$C34&gt;0</formula>
    </cfRule>
  </conditionalFormatting>
  <conditionalFormatting sqref="D34 A34:B34">
    <cfRule type="expression" dxfId="12" priority="4">
      <formula>$C34&lt;0</formula>
    </cfRule>
  </conditionalFormatting>
  <conditionalFormatting sqref="P6">
    <cfRule type="notContainsBlanks" dxfId="13" priority="5">
      <formula>LEN(TRIM(P6))&gt;0</formula>
    </cfRule>
  </conditionalFormatting>
  <dataValidations>
    <dataValidation type="list" allowBlank="1" sqref="A4:A7">
      <formula1>#REF!</formula1>
    </dataValidation>
    <dataValidation type="custom" allowBlank="1" showDropDown="1" sqref="B4:C7 C13:D34 B38:C54">
      <formula1>AND(ISNUMBER(B4),(NOT(OR(NOT(ISERROR(DATEVALUE(B4))), AND(ISNUMBER(B4), LEFT(CELL("format", B4))="D")))))</formula1>
    </dataValidation>
    <dataValidation type="list" allowBlank="1" sqref="B13:B34 A38:A54">
      <formula1>#REF!</formula1>
    </dataValidation>
  </dataValidations>
  <drawing r:id="rId1"/>
  <tableParts count="3"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25"/>
    <col customWidth="1" min="2" max="2" width="25.38"/>
    <col customWidth="1" min="3" max="3" width="16.25"/>
    <col customWidth="1" min="4" max="4" width="17.0"/>
  </cols>
  <sheetData>
    <row r="1" ht="108.0" customHeight="1">
      <c r="A1" s="14"/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>
      <c r="A2" s="17"/>
      <c r="B2" s="18"/>
      <c r="C2" s="17"/>
      <c r="D2" s="19"/>
      <c r="E2" s="19"/>
      <c r="F2" s="20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ht="22.5" customHeight="1">
      <c r="A3" s="21" t="s">
        <v>1</v>
      </c>
      <c r="B3" s="22" t="s">
        <v>51</v>
      </c>
      <c r="C3" s="23" t="s">
        <v>38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ht="22.5" customHeight="1">
      <c r="A4" s="24" t="s">
        <v>20</v>
      </c>
      <c r="B4" s="25">
        <f>SUMIFS('Lista Movimenti'!$C:$C, 'Lista Movimenti'!$B:$B, $A4, 'Lista Movimenti'!$D:$D, "&gt;="&amp;DATE(2026,11,1), 'Lista Movimenti'!$D:$D, "&lt;="&amp;DATE(2026,11,30))</f>
        <v>1150</v>
      </c>
      <c r="C4" s="5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ht="22.5" customHeight="1">
      <c r="A5" s="28" t="s">
        <v>21</v>
      </c>
      <c r="B5" s="25">
        <f>SUMIFS('Lista Movimenti'!$C:$C, 'Lista Movimenti'!$B:$B, $A5, 'Lista Movimenti'!$D:$D, "&gt;="&amp;DATE(2026,11,1), 'Lista Movimenti'!$D:$D, "&lt;="&amp;DATE(2026,11,30))</f>
        <v>0</v>
      </c>
      <c r="C5" s="33"/>
      <c r="D5" s="19"/>
      <c r="E5" s="17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ht="22.5" customHeight="1">
      <c r="A6" s="31"/>
      <c r="B6" s="25">
        <f>SUMIFS('Lista Movimenti'!$C:$C, 'Lista Movimenti'!$B:$B, $A6, 'Lista Movimenti'!$D:$D, "&gt;="&amp;DATE(2026,11,1), 'Lista Movimenti'!$D:$D, "&lt;="&amp;DATE(2026,11,30))</f>
        <v>0</v>
      </c>
      <c r="C6" s="33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ht="22.5" customHeight="1">
      <c r="A7" s="31"/>
      <c r="B7" s="25">
        <f>SUMIFS('Lista Movimenti'!$C:$C, 'Lista Movimenti'!$B:$B, $A7, 'Lista Movimenti'!$D:$D, "&gt;="&amp;DATE(2026,11,1), 'Lista Movimenti'!$D:$D, "&lt;="&amp;DATE(2026,11,30))</f>
        <v>0</v>
      </c>
      <c r="C7" s="33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22.5" customHeight="1">
      <c r="A8" s="60"/>
      <c r="B8" s="61">
        <f>SUM(Entrate_Nov[Totale])</f>
        <v>1150</v>
      </c>
      <c r="C8" s="61">
        <f>SUM(Entrate_Nov[Obiettivo])</f>
        <v>0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>
      <c r="A9" s="19"/>
      <c r="B9" s="35"/>
      <c r="C9" s="36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>
      <c r="A10" s="37"/>
      <c r="B10" s="37"/>
      <c r="C10" s="37"/>
      <c r="D10" s="17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>
      <c r="A11" s="37"/>
      <c r="B11" s="37"/>
      <c r="C11" s="37"/>
      <c r="D11" s="17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ht="22.5" customHeight="1">
      <c r="A12" s="23" t="s">
        <v>41</v>
      </c>
      <c r="B12" s="22" t="s">
        <v>1</v>
      </c>
      <c r="C12" s="23" t="s">
        <v>51</v>
      </c>
      <c r="D12" s="23" t="s">
        <v>38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ht="22.5" customHeight="1">
      <c r="A13" s="38"/>
      <c r="B13" s="28" t="s">
        <v>15</v>
      </c>
      <c r="C13" s="33">
        <f>SUMIFS('Lista Movimenti'!$C:$C, 'Lista Movimenti'!$B:$B, $B13, 'Lista Movimenti'!$E:$E, "Spesa", 'Lista Movimenti'!$D:$D, "&gt;=01/11/2026", 'Lista Movimenti'!$D:$D, "&lt;=30/11/2026")</f>
        <v>200</v>
      </c>
      <c r="D13" s="39">
        <v>200.0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ht="22.5" customHeight="1">
      <c r="A14" s="38"/>
      <c r="B14" s="28" t="s">
        <v>10</v>
      </c>
      <c r="C14" s="33">
        <f>SUMIFS('Lista Movimenti'!$C:$C, 'Lista Movimenti'!$B:$B, $B14, 'Lista Movimenti'!$E:$E, "Spesa", 'Lista Movimenti'!$D:$D, "&gt;=01/11/2026", 'Lista Movimenti'!$D:$D, "&lt;=30/11/2026")</f>
        <v>0</v>
      </c>
      <c r="D14" s="39">
        <v>280.0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ht="22.5" customHeight="1">
      <c r="A15" s="38"/>
      <c r="B15" s="28" t="s">
        <v>23</v>
      </c>
      <c r="C15" s="33">
        <f>SUMIFS('Lista Movimenti'!$C:$C, 'Lista Movimenti'!$B:$B, $B15, 'Lista Movimenti'!$E:$E, "Spesa", 'Lista Movimenti'!$D:$D, "&gt;=01/11/2026", 'Lista Movimenti'!$D:$D, "&lt;=30/11/2026")</f>
        <v>0</v>
      </c>
      <c r="D15" s="39">
        <v>50.0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ht="22.5" customHeight="1">
      <c r="A16" s="38"/>
      <c r="B16" s="28" t="s">
        <v>14</v>
      </c>
      <c r="C16" s="33">
        <f>SUMIFS('Lista Movimenti'!$C:$C, 'Lista Movimenti'!$B:$B, $B16, 'Lista Movimenti'!$E:$E, "Spesa", 'Lista Movimenti'!$D:$D, "&gt;=01/11/2026", 'Lista Movimenti'!$D:$D, "&lt;=30/11/2026")</f>
        <v>0</v>
      </c>
      <c r="D16" s="39">
        <v>40.0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ht="22.5" customHeight="1">
      <c r="A17" s="38"/>
      <c r="B17" s="28" t="s">
        <v>19</v>
      </c>
      <c r="C17" s="33">
        <f>SUMIFS('Lista Movimenti'!$C:$C, 'Lista Movimenti'!$B:$B, $B17, 'Lista Movimenti'!$E:$E, "Spesa", 'Lista Movimenti'!$D:$D, "&gt;=01/11/2026", 'Lista Movimenti'!$D:$D, "&lt;=30/11/2026")</f>
        <v>0</v>
      </c>
      <c r="D17" s="39">
        <v>15.0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ht="22.5" customHeight="1">
      <c r="A18" s="38"/>
      <c r="B18" s="28" t="s">
        <v>22</v>
      </c>
      <c r="C18" s="33">
        <f>SUMIFS('Lista Movimenti'!$C:$C, 'Lista Movimenti'!$B:$B, $B18, 'Lista Movimenti'!$E:$E, "Spesa", 'Lista Movimenti'!$D:$D, "&gt;=01/11/2026", 'Lista Movimenti'!$D:$D, "&lt;=30/11/2026")</f>
        <v>0</v>
      </c>
      <c r="D18" s="39">
        <v>45.0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ht="22.5" customHeight="1">
      <c r="A19" s="38"/>
      <c r="B19" s="28" t="s">
        <v>16</v>
      </c>
      <c r="C19" s="33">
        <f>SUMIFS('Lista Movimenti'!$C:$C, 'Lista Movimenti'!$B:$B, $B19, 'Lista Movimenti'!$E:$E, "Spesa", 'Lista Movimenti'!$D:$D, "&gt;=01/11/2026", 'Lista Movimenti'!$D:$D, "&lt;=30/11/2026")</f>
        <v>0</v>
      </c>
      <c r="D19" s="39">
        <v>35.0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ht="22.5" customHeight="1">
      <c r="A20" s="41" t="s">
        <v>42</v>
      </c>
      <c r="B20" s="42" t="s">
        <v>43</v>
      </c>
      <c r="C20" s="43">
        <f t="shared" ref="C20:D20" si="1">SUM(C13:C19)</f>
        <v>200</v>
      </c>
      <c r="D20" s="43">
        <f t="shared" si="1"/>
        <v>665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ht="22.5" customHeight="1">
      <c r="A21" s="38"/>
      <c r="B21" s="31"/>
      <c r="C21" s="33"/>
      <c r="D21" s="33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ht="22.5" customHeight="1">
      <c r="A22" s="45" t="s">
        <v>44</v>
      </c>
      <c r="B22" s="46" t="s">
        <v>45</v>
      </c>
      <c r="C22" s="47" t="s">
        <v>51</v>
      </c>
      <c r="D22" s="47" t="s">
        <v>38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22.5" customHeight="1">
      <c r="A23" s="38"/>
      <c r="B23" s="28" t="s">
        <v>12</v>
      </c>
      <c r="C23" s="39">
        <f>SUMIFS('Lista Movimenti'!$C:$C, 'Lista Movimenti'!$B:$B, $B23, 'Lista Movimenti'!$E:$E, "Spesa", 'Lista Movimenti'!$D:$D, "&gt;=01/11/2026", 'Lista Movimenti'!$D:$D, "&lt;=30/11/2026")</f>
        <v>12</v>
      </c>
      <c r="D23" s="39">
        <v>22.0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ht="22.5" customHeight="1">
      <c r="A24" s="38"/>
      <c r="B24" s="28" t="s">
        <v>8</v>
      </c>
      <c r="C24" s="39">
        <f>SUMIFS('Lista Movimenti'!$C:$C, 'Lista Movimenti'!$B:$B, $B24, 'Lista Movimenti'!$E:$E, "Spesa", 'Lista Movimenti'!$D:$D, "&gt;=01/11/2026", 'Lista Movimenti'!$D:$D, "&lt;=30/11/2026")</f>
        <v>0</v>
      </c>
      <c r="D24" s="39">
        <v>85.0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ht="22.5" customHeight="1">
      <c r="A25" s="38"/>
      <c r="B25" s="28" t="s">
        <v>13</v>
      </c>
      <c r="C25" s="39">
        <f>SUMIFS('Lista Movimenti'!$C:$C, 'Lista Movimenti'!$B:$B, $B25, 'Lista Movimenti'!$E:$E, "Spesa", 'Lista Movimenti'!$D:$D, "&gt;=01/11/2026", 'Lista Movimenti'!$D:$D, "&lt;=30/11/2026")</f>
        <v>0</v>
      </c>
      <c r="D25" s="39">
        <v>24.0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ht="22.5" customHeight="1">
      <c r="A26" s="38"/>
      <c r="B26" s="28" t="s">
        <v>11</v>
      </c>
      <c r="C26" s="39">
        <f>SUMIFS('Lista Movimenti'!$C:$C, 'Lista Movimenti'!$B:$B, $B26, 'Lista Movimenti'!$E:$E, "Spesa", 'Lista Movimenti'!$D:$D, "&gt;=01/11/2026", 'Lista Movimenti'!$D:$D, "&lt;=30/11/2026")</f>
        <v>0</v>
      </c>
      <c r="D26" s="39">
        <v>20.0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ht="22.5" customHeight="1">
      <c r="A27" s="38"/>
      <c r="B27" s="28" t="s">
        <v>5</v>
      </c>
      <c r="C27" s="39">
        <f>SUMIFS('Lista Movimenti'!$C:$C, 'Lista Movimenti'!$B:$B, $B27, 'Lista Movimenti'!$E:$E, "Spesa", 'Lista Movimenti'!$D:$D, "&gt;=01/11/2026", 'Lista Movimenti'!$D:$D, "&lt;=30/11/2026")</f>
        <v>0</v>
      </c>
      <c r="D27" s="39">
        <v>60.0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ht="22.5" customHeight="1">
      <c r="A28" s="38"/>
      <c r="B28" s="28" t="s">
        <v>18</v>
      </c>
      <c r="C28" s="39">
        <f>SUMIFS('Lista Movimenti'!$C:$C, 'Lista Movimenti'!$B:$B, $B28, 'Lista Movimenti'!$E:$E, "Spesa", 'Lista Movimenti'!$D:$D, "&gt;=01/11/2026", 'Lista Movimenti'!$D:$D, "&lt;=30/11/2026")</f>
        <v>0</v>
      </c>
      <c r="D28" s="39">
        <v>40.0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ht="22.5" customHeight="1">
      <c r="A29" s="38"/>
      <c r="B29" s="28" t="s">
        <v>17</v>
      </c>
      <c r="C29" s="39">
        <f>SUMIFS('Lista Movimenti'!$C:$C, 'Lista Movimenti'!$B:$B, $B29, 'Lista Movimenti'!$E:$E, "Spesa", 'Lista Movimenti'!$D:$D, "&gt;=01/11/2026", 'Lista Movimenti'!$D:$D, "&lt;=30/11/2026")</f>
        <v>0</v>
      </c>
      <c r="D29" s="39">
        <v>95.0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ht="22.5" customHeight="1">
      <c r="A30" s="38"/>
      <c r="B30" s="28" t="s">
        <v>7</v>
      </c>
      <c r="C30" s="39">
        <f>SUMIFS('Lista Movimenti'!$C:$C, 'Lista Movimenti'!$B:$B, $B30, 'Lista Movimenti'!$E:$E, "Spesa", 'Lista Movimenti'!$D:$D, "&gt;=01/11/2026", 'Lista Movimenti'!$D:$D, "&lt;=30/11/2026")</f>
        <v>0</v>
      </c>
      <c r="D30" s="39">
        <v>13.0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ht="22.5" customHeight="1">
      <c r="A31" s="45" t="s">
        <v>46</v>
      </c>
      <c r="B31" s="46" t="s">
        <v>45</v>
      </c>
      <c r="C31" s="48">
        <f t="shared" ref="C31:D31" si="2">SUM(C23:C30)</f>
        <v>12</v>
      </c>
      <c r="D31" s="48">
        <f t="shared" si="2"/>
        <v>359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ht="22.5" customHeight="1">
      <c r="A32" s="38"/>
      <c r="B32" s="31"/>
      <c r="C32" s="33"/>
      <c r="D32" s="33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ht="22.5" customHeight="1">
      <c r="A33" s="50" t="s">
        <v>47</v>
      </c>
      <c r="B33" s="51"/>
      <c r="C33" s="52">
        <f t="shared" ref="C33:D33" si="3">(C31 + C20)</f>
        <v>212</v>
      </c>
      <c r="D33" s="52">
        <f t="shared" si="3"/>
        <v>1024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ht="22.5" customHeight="1">
      <c r="A34" s="32" t="s">
        <v>48</v>
      </c>
      <c r="B34" s="31"/>
      <c r="C34" s="33">
        <f>(B8-C33)</f>
        <v>938</v>
      </c>
      <c r="D34" s="33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>
      <c r="A35" s="19"/>
      <c r="B35" s="55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>
      <c r="A36" s="17"/>
      <c r="B36" s="18"/>
      <c r="C36" s="17"/>
      <c r="D36" s="17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ht="22.5" customHeight="1">
      <c r="A37" s="23" t="s">
        <v>1</v>
      </c>
      <c r="B37" s="22" t="s">
        <v>51</v>
      </c>
      <c r="C37" s="23" t="s">
        <v>38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22.5" customHeight="1">
      <c r="A38" s="28" t="s">
        <v>15</v>
      </c>
      <c r="B38" s="33">
        <f>SUMIFS('Lista Movimenti'!$C:$C, 'Lista Movimenti'!$B:$B, $A38, 'Lista Movimenti'!$E:$E, "Risparmio", 'Lista Movimenti'!$D:$D, "&gt;=01/11/2026", 'Lista Movimenti'!$D:$D, "&lt;=30/11/2026")</f>
        <v>0</v>
      </c>
      <c r="C38" s="33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22.5" customHeight="1">
      <c r="A39" s="28" t="s">
        <v>10</v>
      </c>
      <c r="B39" s="33">
        <f>SUMIFS('Lista Movimenti'!$C:$C, 'Lista Movimenti'!$B:$B, $A39, 'Lista Movimenti'!$E:$E, "Risparmio", 'Lista Movimenti'!$D:$D, "&gt;=01/11/2026", 'Lista Movimenti'!$D:$D, "&lt;=30/11/2026")</f>
        <v>0</v>
      </c>
      <c r="C39" s="33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22.5" customHeight="1">
      <c r="A40" s="28" t="s">
        <v>23</v>
      </c>
      <c r="B40" s="33">
        <f>SUMIFS('Lista Movimenti'!$C:$C, 'Lista Movimenti'!$B:$B, $A40, 'Lista Movimenti'!$E:$E, "Risparmio", 'Lista Movimenti'!$D:$D, "&gt;=01/11/2026", 'Lista Movimenti'!$D:$D, "&lt;=30/11/2026")</f>
        <v>0</v>
      </c>
      <c r="C40" s="33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22.5" customHeight="1">
      <c r="A41" s="28" t="s">
        <v>14</v>
      </c>
      <c r="B41" s="33">
        <f>SUMIFS('Lista Movimenti'!$C:$C, 'Lista Movimenti'!$B:$B, $A41, 'Lista Movimenti'!$E:$E, "Risparmio", 'Lista Movimenti'!$D:$D, "&gt;=01/11/2026", 'Lista Movimenti'!$D:$D, "&lt;=30/11/2026")</f>
        <v>0</v>
      </c>
      <c r="C41" s="33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22.5" customHeight="1">
      <c r="A42" s="28" t="s">
        <v>19</v>
      </c>
      <c r="B42" s="33">
        <f>SUMIFS('Lista Movimenti'!$C:$C, 'Lista Movimenti'!$B:$B, $A42, 'Lista Movimenti'!$E:$E, "Risparmio", 'Lista Movimenti'!$D:$D, "&gt;=01/11/2026", 'Lista Movimenti'!$D:$D, "&lt;=30/11/2026")</f>
        <v>0</v>
      </c>
      <c r="C42" s="33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22.5" customHeight="1">
      <c r="A43" s="28" t="s">
        <v>22</v>
      </c>
      <c r="B43" s="33">
        <f>SUMIFS('Lista Movimenti'!$C:$C, 'Lista Movimenti'!$B:$B, $A43, 'Lista Movimenti'!$E:$E, "Risparmio", 'Lista Movimenti'!$D:$D, "&gt;=01/11/2026", 'Lista Movimenti'!$D:$D, "&lt;=30/11/2026")</f>
        <v>0</v>
      </c>
      <c r="C43" s="33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22.5" customHeight="1">
      <c r="A44" s="28" t="s">
        <v>16</v>
      </c>
      <c r="B44" s="33">
        <f>SUMIFS('Lista Movimenti'!$C:$C, 'Lista Movimenti'!$B:$B, $A44, 'Lista Movimenti'!$E:$E, "Risparmio", 'Lista Movimenti'!$D:$D, "&gt;=01/11/2026", 'Lista Movimenti'!$D:$D, "&lt;=30/11/2026")</f>
        <v>0</v>
      </c>
      <c r="C44" s="33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22.5" customHeight="1">
      <c r="A45" s="28" t="s">
        <v>12</v>
      </c>
      <c r="B45" s="33">
        <f>SUMIFS('Lista Movimenti'!$C:$C, 'Lista Movimenti'!$B:$B, $A45, 'Lista Movimenti'!$E:$E, "Risparmio", 'Lista Movimenti'!$D:$D, "&gt;=01/11/2026", 'Lista Movimenti'!$D:$D, "&lt;=30/11/2026")</f>
        <v>0</v>
      </c>
      <c r="C45" s="33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22.5" customHeight="1">
      <c r="A46" s="28" t="s">
        <v>8</v>
      </c>
      <c r="B46" s="33">
        <f>SUMIFS('Lista Movimenti'!$C:$C, 'Lista Movimenti'!$B:$B, $A46, 'Lista Movimenti'!$E:$E, "Risparmio", 'Lista Movimenti'!$D:$D, "&gt;=01/11/2026", 'Lista Movimenti'!$D:$D, "&lt;=30/11/2026")</f>
        <v>0</v>
      </c>
      <c r="C46" s="33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22.5" customHeight="1">
      <c r="A47" s="28" t="s">
        <v>13</v>
      </c>
      <c r="B47" s="33">
        <f>SUMIFS('Lista Movimenti'!$C:$C, 'Lista Movimenti'!$B:$B, $A47, 'Lista Movimenti'!$E:$E, "Risparmio", 'Lista Movimenti'!$D:$D, "&gt;=01/11/2026", 'Lista Movimenti'!$D:$D, "&lt;=30/11/2026")</f>
        <v>0</v>
      </c>
      <c r="C47" s="33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22.5" customHeight="1">
      <c r="A48" s="28" t="s">
        <v>11</v>
      </c>
      <c r="B48" s="33">
        <f>SUMIFS('Lista Movimenti'!$C:$C, 'Lista Movimenti'!$B:$B, $A48, 'Lista Movimenti'!$E:$E, "Risparmio", 'Lista Movimenti'!$D:$D, "&gt;=01/11/2026", 'Lista Movimenti'!$D:$D, "&lt;=30/11/2026")</f>
        <v>0</v>
      </c>
      <c r="C48" s="33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22.5" customHeight="1">
      <c r="A49" s="28" t="s">
        <v>5</v>
      </c>
      <c r="B49" s="33">
        <f>SUMIFS('Lista Movimenti'!$C:$C, 'Lista Movimenti'!$B:$B, $A49, 'Lista Movimenti'!$E:$E, "Risparmio", 'Lista Movimenti'!$D:$D, "&gt;=01/11/2026", 'Lista Movimenti'!$D:$D, "&lt;=30/11/2026")</f>
        <v>0</v>
      </c>
      <c r="C49" s="33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22.5" customHeight="1">
      <c r="A50" s="28" t="s">
        <v>18</v>
      </c>
      <c r="B50" s="33">
        <f>SUMIFS('Lista Movimenti'!$C:$C, 'Lista Movimenti'!$B:$B, $A50, 'Lista Movimenti'!$E:$E, "Risparmio", 'Lista Movimenti'!$D:$D, "&gt;=01/11/2026", 'Lista Movimenti'!$D:$D, "&lt;=30/11/2026")</f>
        <v>0</v>
      </c>
      <c r="C50" s="33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22.5" customHeight="1">
      <c r="A51" s="28" t="s">
        <v>17</v>
      </c>
      <c r="B51" s="33">
        <f>SUMIFS('Lista Movimenti'!$C:$C, 'Lista Movimenti'!$B:$B, $A51, 'Lista Movimenti'!$E:$E, "Risparmio", 'Lista Movimenti'!$D:$D, "&gt;=01/11/2026", 'Lista Movimenti'!$D:$D, "&lt;=30/11/2026")</f>
        <v>0</v>
      </c>
      <c r="C51" s="33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22.5" customHeight="1">
      <c r="A52" s="28" t="s">
        <v>7</v>
      </c>
      <c r="B52" s="33">
        <f>SUMIFS('Lista Movimenti'!$C:$C, 'Lista Movimenti'!$B:$B, $A52, 'Lista Movimenti'!$E:$E, "Risparmio", 'Lista Movimenti'!$D:$D, "&gt;=01/11/2026", 'Lista Movimenti'!$D:$D, "&lt;=30/11/2026")</f>
        <v>0</v>
      </c>
      <c r="C52" s="33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22.5" customHeight="1">
      <c r="A53" s="28" t="s">
        <v>20</v>
      </c>
      <c r="B53" s="33">
        <f>SUMIFS('Lista Movimenti'!$C:$C, 'Lista Movimenti'!$B:$B, $A53, 'Lista Movimenti'!$E:$E, "Risparmio", 'Lista Movimenti'!$D:$D, "&gt;=01/11/2026", 'Lista Movimenti'!$D:$D, "&lt;=30/11/2026")</f>
        <v>0</v>
      </c>
      <c r="C53" s="33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22.5" customHeight="1">
      <c r="A54" s="28" t="s">
        <v>21</v>
      </c>
      <c r="B54" s="33">
        <f>SUMIFS('Lista Movimenti'!$C:$C, 'Lista Movimenti'!$B:$B, $A54, 'Lista Movimenti'!$E:$E, "Risparmio", 'Lista Movimenti'!$D:$D, "&gt;=01/11/2026", 'Lista Movimenti'!$D:$D, "&lt;=30/11/2026")</f>
        <v>0</v>
      </c>
      <c r="C54" s="33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22.5" customHeight="1">
      <c r="A55" s="32" t="s">
        <v>49</v>
      </c>
      <c r="B55" s="33">
        <f>SUM(Risparmi_Nov[Totale])</f>
        <v>0</v>
      </c>
      <c r="C55" s="33">
        <f>SUM(Risparmi_Nov[Obiettivo])</f>
        <v>0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56">
        <v>0.0</v>
      </c>
      <c r="T55" s="19"/>
      <c r="U55" s="19"/>
      <c r="V55" s="19"/>
      <c r="W55" s="19"/>
    </row>
  </sheetData>
  <conditionalFormatting sqref="C34">
    <cfRule type="cellIs" dxfId="9" priority="1" operator="greaterThan">
      <formula>0</formula>
    </cfRule>
  </conditionalFormatting>
  <conditionalFormatting sqref="C34">
    <cfRule type="cellIs" dxfId="10" priority="2" operator="lessThan">
      <formula>0</formula>
    </cfRule>
  </conditionalFormatting>
  <conditionalFormatting sqref="D34 A34:B34">
    <cfRule type="expression" dxfId="11" priority="3">
      <formula>$C34&gt;0</formula>
    </cfRule>
  </conditionalFormatting>
  <conditionalFormatting sqref="D34 A34:B34">
    <cfRule type="expression" dxfId="12" priority="4">
      <formula>$C34&lt;0</formula>
    </cfRule>
  </conditionalFormatting>
  <conditionalFormatting sqref="P6">
    <cfRule type="notContainsBlanks" dxfId="13" priority="5">
      <formula>LEN(TRIM(P6))&gt;0</formula>
    </cfRule>
  </conditionalFormatting>
  <dataValidations>
    <dataValidation type="list" allowBlank="1" sqref="A4:A7">
      <formula1>#REF!</formula1>
    </dataValidation>
    <dataValidation type="custom" allowBlank="1" showDropDown="1" sqref="B4:C7 C13:D34 B38:C54">
      <formula1>AND(ISNUMBER(B4),(NOT(OR(NOT(ISERROR(DATEVALUE(B4))), AND(ISNUMBER(B4), LEFT(CELL("format", B4))="D")))))</formula1>
    </dataValidation>
    <dataValidation type="list" allowBlank="1" sqref="B13:B34 A38:A54">
      <formula1>#REF!</formula1>
    </dataValidation>
  </dataValidations>
  <drawing r:id="rId1"/>
  <tableParts count="3">
    <tablePart r:id="rId5"/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25"/>
    <col customWidth="1" min="2" max="2" width="25.38"/>
    <col customWidth="1" min="3" max="3" width="16.75"/>
    <col customWidth="1" min="4" max="4" width="17.0"/>
  </cols>
  <sheetData>
    <row r="1" ht="108.0" customHeight="1">
      <c r="A1" s="62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>
      <c r="A2" s="17"/>
      <c r="B2" s="18"/>
      <c r="C2" s="17"/>
      <c r="D2" s="19"/>
      <c r="E2" s="19"/>
      <c r="F2" s="20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ht="22.5" customHeight="1">
      <c r="A3" s="21" t="s">
        <v>1</v>
      </c>
      <c r="B3" s="22" t="s">
        <v>51</v>
      </c>
      <c r="C3" s="23" t="s">
        <v>38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ht="22.5" customHeight="1">
      <c r="A4" s="24" t="s">
        <v>20</v>
      </c>
      <c r="B4" s="25">
        <f>SUMIFS('Lista Movimenti'!$C:$C, 'Lista Movimenti'!$B:$B, $A4, 'Lista Movimenti'!$D:$D, "&gt;="&amp;DATE(2026,12,1), 'Lista Movimenti'!$D:$D, "&lt;="&amp;DATE(2026,12,31))</f>
        <v>1450</v>
      </c>
      <c r="C4" s="5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ht="22.5" customHeight="1">
      <c r="A5" s="28" t="s">
        <v>21</v>
      </c>
      <c r="B5" s="25">
        <f>SUMIFS('Lista Movimenti'!$C:$C, 'Lista Movimenti'!$B:$B, $A5, 'Lista Movimenti'!$D:$D, "&gt;="&amp;DATE(2026,12,1), 'Lista Movimenti'!$D:$D, "&lt;="&amp;DATE(2026,12,31))</f>
        <v>0</v>
      </c>
      <c r="C5" s="33"/>
      <c r="D5" s="19"/>
      <c r="E5" s="17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ht="22.5" customHeight="1">
      <c r="A6" s="31"/>
      <c r="B6" s="25">
        <f>SUMIFS('Lista Movimenti'!$C:$C, 'Lista Movimenti'!$B:$B, $A6, 'Lista Movimenti'!$D:$D, "&gt;="&amp;DATE(2026,12,1), 'Lista Movimenti'!$D:$D, "&lt;="&amp;DATE(2026,12,31))</f>
        <v>0</v>
      </c>
      <c r="C6" s="33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ht="22.5" customHeight="1">
      <c r="A7" s="31"/>
      <c r="B7" s="25">
        <f>SUMIFS('Lista Movimenti'!$C:$C, 'Lista Movimenti'!$B:$B, $A7, 'Lista Movimenti'!$D:$D, "&gt;="&amp;DATE(2026,12,1), 'Lista Movimenti'!$D:$D, "&lt;="&amp;DATE(2026,12,31))</f>
        <v>0</v>
      </c>
      <c r="C7" s="33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22.5" customHeight="1">
      <c r="A8" s="60"/>
      <c r="B8" s="61">
        <f>SUM(Entrate_Dic[Totale])</f>
        <v>1450</v>
      </c>
      <c r="C8" s="61">
        <f>SUM(Entrate_Dic[Obiettivo])</f>
        <v>0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>
      <c r="A9" s="19"/>
      <c r="B9" s="35"/>
      <c r="C9" s="36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>
      <c r="A10" s="37"/>
      <c r="B10" s="37"/>
      <c r="C10" s="37"/>
      <c r="D10" s="17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>
      <c r="A11" s="37"/>
      <c r="B11" s="37"/>
      <c r="C11" s="37"/>
      <c r="D11" s="17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ht="22.5" customHeight="1">
      <c r="A12" s="23" t="s">
        <v>41</v>
      </c>
      <c r="B12" s="22" t="s">
        <v>1</v>
      </c>
      <c r="C12" s="23" t="s">
        <v>51</v>
      </c>
      <c r="D12" s="23" t="s">
        <v>38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ht="22.5" customHeight="1">
      <c r="A13" s="38"/>
      <c r="B13" s="28" t="s">
        <v>15</v>
      </c>
      <c r="C13" s="33">
        <f>SUMIFS('Lista Movimenti'!$C:$C, 'Lista Movimenti'!$B:$B, $B13, 'Lista Movimenti'!$E:$E, "Spesa", 'Lista Movimenti'!$D:$D, "&gt;=01/12/2026", 'Lista Movimenti'!$D:$D, "&lt;=31/12/2026")</f>
        <v>0</v>
      </c>
      <c r="D13" s="39">
        <v>200.0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ht="22.5" customHeight="1">
      <c r="A14" s="38"/>
      <c r="B14" s="28" t="s">
        <v>10</v>
      </c>
      <c r="C14" s="33">
        <f>SUMIFS('Lista Movimenti'!$C:$C, 'Lista Movimenti'!$B:$B, $B14, 'Lista Movimenti'!$E:$E, "Spesa", 'Lista Movimenti'!$D:$D, "&gt;=01/12/2026", 'Lista Movimenti'!$D:$D, "&lt;=31/12/2026")</f>
        <v>0</v>
      </c>
      <c r="D14" s="39">
        <v>280.0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ht="22.5" customHeight="1">
      <c r="A15" s="38"/>
      <c r="B15" s="28" t="s">
        <v>23</v>
      </c>
      <c r="C15" s="33">
        <f>SUMIFS('Lista Movimenti'!$C:$C, 'Lista Movimenti'!$B:$B, $B15, 'Lista Movimenti'!$E:$E, "Spesa", 'Lista Movimenti'!$D:$D, "&gt;=01/12/2026", 'Lista Movimenti'!$D:$D, "&lt;=31/12/2026")</f>
        <v>0</v>
      </c>
      <c r="D15" s="39">
        <v>50.0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ht="22.5" customHeight="1">
      <c r="A16" s="38"/>
      <c r="B16" s="28" t="s">
        <v>14</v>
      </c>
      <c r="C16" s="33">
        <f>SUMIFS('Lista Movimenti'!$C:$C, 'Lista Movimenti'!$B:$B, $B16, 'Lista Movimenti'!$E:$E, "Spesa", 'Lista Movimenti'!$D:$D, "&gt;=01/12/2026", 'Lista Movimenti'!$D:$D, "&lt;=31/12/2026")</f>
        <v>45</v>
      </c>
      <c r="D16" s="39">
        <v>40.0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ht="22.5" customHeight="1">
      <c r="A17" s="38"/>
      <c r="B17" s="28" t="s">
        <v>19</v>
      </c>
      <c r="C17" s="33">
        <f>SUMIFS('Lista Movimenti'!$C:$C, 'Lista Movimenti'!$B:$B, $B17, 'Lista Movimenti'!$E:$E, "Spesa", 'Lista Movimenti'!$D:$D, "&gt;=01/12/2026", 'Lista Movimenti'!$D:$D, "&lt;=31/12/2026")</f>
        <v>25</v>
      </c>
      <c r="D17" s="39">
        <v>15.0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ht="22.5" customHeight="1">
      <c r="A18" s="38"/>
      <c r="B18" s="28" t="s">
        <v>22</v>
      </c>
      <c r="C18" s="33">
        <f>SUMIFS('Lista Movimenti'!$C:$C, 'Lista Movimenti'!$B:$B, $B18, 'Lista Movimenti'!$E:$E, "Spesa", 'Lista Movimenti'!$D:$D, "&gt;=01/12/2026", 'Lista Movimenti'!$D:$D, "&lt;=31/12/2026")</f>
        <v>0</v>
      </c>
      <c r="D18" s="39">
        <v>45.0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ht="22.5" customHeight="1">
      <c r="A19" s="38"/>
      <c r="B19" s="28" t="s">
        <v>16</v>
      </c>
      <c r="C19" s="33">
        <f>SUMIFS('Lista Movimenti'!$C:$C, 'Lista Movimenti'!$B:$B, $B19, 'Lista Movimenti'!$E:$E, "Spesa", 'Lista Movimenti'!$D:$D, "&gt;=01/12/2026", 'Lista Movimenti'!$D:$D, "&lt;=31/12/2026")</f>
        <v>110</v>
      </c>
      <c r="D19" s="39">
        <v>35.0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ht="22.5" customHeight="1">
      <c r="A20" s="41" t="s">
        <v>42</v>
      </c>
      <c r="B20" s="42" t="s">
        <v>43</v>
      </c>
      <c r="C20" s="43">
        <f t="shared" ref="C20:D20" si="1">SUM(C13:C19)</f>
        <v>180</v>
      </c>
      <c r="D20" s="43">
        <f t="shared" si="1"/>
        <v>665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ht="22.5" customHeight="1">
      <c r="A21" s="38"/>
      <c r="B21" s="31"/>
      <c r="C21" s="33"/>
      <c r="D21" s="33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ht="22.5" customHeight="1">
      <c r="A22" s="45" t="s">
        <v>44</v>
      </c>
      <c r="B22" s="46" t="s">
        <v>45</v>
      </c>
      <c r="C22" s="47" t="s">
        <v>51</v>
      </c>
      <c r="D22" s="47" t="s">
        <v>38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22.5" customHeight="1">
      <c r="A23" s="38"/>
      <c r="B23" s="28" t="s">
        <v>12</v>
      </c>
      <c r="C23" s="39">
        <f>SUMIFS('Lista Movimenti'!$C:$C, 'Lista Movimenti'!$B:$B, $B23, 'Lista Movimenti'!$E:$E, "Spesa", 'Lista Movimenti'!$D:$D, "&gt;=01/12/2026", 'Lista Movimenti'!$D:$D, "&lt;=31/12/2026")</f>
        <v>0</v>
      </c>
      <c r="D23" s="39">
        <v>22.0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ht="22.5" customHeight="1">
      <c r="A24" s="38"/>
      <c r="B24" s="28" t="s">
        <v>8</v>
      </c>
      <c r="C24" s="39">
        <f>SUMIFS('Lista Movimenti'!$C:$C, 'Lista Movimenti'!$B:$B, $B24, 'Lista Movimenti'!$E:$E, "Spesa", 'Lista Movimenti'!$D:$D, "&gt;=01/12/2026", 'Lista Movimenti'!$D:$D, "&lt;=31/12/2026")</f>
        <v>120</v>
      </c>
      <c r="D24" s="39">
        <v>85.0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ht="22.5" customHeight="1">
      <c r="A25" s="38"/>
      <c r="B25" s="28" t="s">
        <v>13</v>
      </c>
      <c r="C25" s="39">
        <f>SUMIFS('Lista Movimenti'!$C:$C, 'Lista Movimenti'!$B:$B, $B25, 'Lista Movimenti'!$E:$E, "Spesa", 'Lista Movimenti'!$D:$D, "&gt;=01/12/2026", 'Lista Movimenti'!$D:$D, "&lt;=31/12/2026")</f>
        <v>0</v>
      </c>
      <c r="D25" s="39">
        <v>24.0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ht="22.5" customHeight="1">
      <c r="A26" s="38"/>
      <c r="B26" s="28" t="s">
        <v>11</v>
      </c>
      <c r="C26" s="39">
        <f>SUMIFS('Lista Movimenti'!$C:$C, 'Lista Movimenti'!$B:$B, $B26, 'Lista Movimenti'!$E:$E, "Spesa", 'Lista Movimenti'!$D:$D, "&gt;=01/12/2026", 'Lista Movimenti'!$D:$D, "&lt;=31/12/2026")</f>
        <v>0</v>
      </c>
      <c r="D26" s="39">
        <v>20.0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ht="22.5" customHeight="1">
      <c r="A27" s="38"/>
      <c r="B27" s="28" t="s">
        <v>5</v>
      </c>
      <c r="C27" s="39">
        <f>SUMIFS('Lista Movimenti'!$C:$C, 'Lista Movimenti'!$B:$B, $B27, 'Lista Movimenti'!$E:$E, "Spesa", 'Lista Movimenti'!$D:$D, "&gt;=01/12/2026", 'Lista Movimenti'!$D:$D, "&lt;=31/12/2026")</f>
        <v>0</v>
      </c>
      <c r="D27" s="39">
        <v>60.0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ht="22.5" customHeight="1">
      <c r="A28" s="38"/>
      <c r="B28" s="28" t="s">
        <v>18</v>
      </c>
      <c r="C28" s="39">
        <f>SUMIFS('Lista Movimenti'!$C:$C, 'Lista Movimenti'!$B:$B, $B28, 'Lista Movimenti'!$E:$E, "Spesa", 'Lista Movimenti'!$D:$D, "&gt;=01/12/2026", 'Lista Movimenti'!$D:$D, "&lt;=31/12/2026")</f>
        <v>0</v>
      </c>
      <c r="D28" s="39">
        <v>40.0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ht="22.5" customHeight="1">
      <c r="A29" s="38"/>
      <c r="B29" s="28" t="s">
        <v>17</v>
      </c>
      <c r="C29" s="39">
        <f>SUMIFS('Lista Movimenti'!$C:$C, 'Lista Movimenti'!$B:$B, $B29, 'Lista Movimenti'!$E:$E, "Spesa", 'Lista Movimenti'!$D:$D, "&gt;=01/12/2026", 'Lista Movimenti'!$D:$D, "&lt;=31/12/2026")</f>
        <v>0</v>
      </c>
      <c r="D29" s="39">
        <v>95.0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ht="22.5" customHeight="1">
      <c r="A30" s="38"/>
      <c r="B30" s="28" t="s">
        <v>7</v>
      </c>
      <c r="C30" s="39">
        <f>SUMIFS('Lista Movimenti'!$C:$C, 'Lista Movimenti'!$B:$B, $B30, 'Lista Movimenti'!$E:$E, "Spesa", 'Lista Movimenti'!$D:$D, "&gt;=01/12/2026", 'Lista Movimenti'!$D:$D, "&lt;=31/12/2026")</f>
        <v>0</v>
      </c>
      <c r="D30" s="39">
        <v>13.0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ht="22.5" customHeight="1">
      <c r="A31" s="45" t="s">
        <v>46</v>
      </c>
      <c r="B31" s="46" t="s">
        <v>45</v>
      </c>
      <c r="C31" s="48">
        <f t="shared" ref="C31:D31" si="2">SUM(C23:C30)</f>
        <v>120</v>
      </c>
      <c r="D31" s="48">
        <f t="shared" si="2"/>
        <v>359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ht="22.5" customHeight="1">
      <c r="A32" s="38"/>
      <c r="B32" s="31"/>
      <c r="C32" s="33"/>
      <c r="D32" s="33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ht="22.5" customHeight="1">
      <c r="A33" s="50" t="s">
        <v>47</v>
      </c>
      <c r="B33" s="51"/>
      <c r="C33" s="52">
        <f t="shared" ref="C33:D33" si="3">(C31 + C20)</f>
        <v>300</v>
      </c>
      <c r="D33" s="52">
        <f t="shared" si="3"/>
        <v>1024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ht="22.5" customHeight="1">
      <c r="A34" s="32" t="s">
        <v>48</v>
      </c>
      <c r="B34" s="31"/>
      <c r="C34" s="33">
        <f>(B8-C33)</f>
        <v>1150</v>
      </c>
      <c r="D34" s="33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>
      <c r="A35" s="19"/>
      <c r="B35" s="55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>
      <c r="A36" s="17"/>
      <c r="B36" s="18"/>
      <c r="C36" s="17"/>
      <c r="D36" s="17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ht="22.5" customHeight="1">
      <c r="A37" s="23" t="s">
        <v>1</v>
      </c>
      <c r="B37" s="22" t="s">
        <v>51</v>
      </c>
      <c r="C37" s="23" t="s">
        <v>38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ht="22.5" customHeight="1">
      <c r="A38" s="28" t="s">
        <v>15</v>
      </c>
      <c r="B38" s="33">
        <f>SUMIFS('Lista Movimenti'!$C:$C, 'Lista Movimenti'!$B:$B, $A38, 'Lista Movimenti'!$E:$E, "Risparmio", 'Lista Movimenti'!$D:$D, "&gt;=01/12/2026", 'Lista Movimenti'!$D:$D, "&lt;=31/12/2026")</f>
        <v>250</v>
      </c>
      <c r="C38" s="33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22.5" customHeight="1">
      <c r="A39" s="28" t="s">
        <v>10</v>
      </c>
      <c r="B39" s="33">
        <f>SUMIFS('Lista Movimenti'!$C:$C, 'Lista Movimenti'!$B:$B, $A39, 'Lista Movimenti'!$E:$E, "Risparmio", 'Lista Movimenti'!$D:$D, "&gt;=01/12/2026", 'Lista Movimenti'!$D:$D, "&lt;=31/12/2026")</f>
        <v>0</v>
      </c>
      <c r="C39" s="33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22.5" customHeight="1">
      <c r="A40" s="28" t="s">
        <v>23</v>
      </c>
      <c r="B40" s="33">
        <f>SUMIFS('Lista Movimenti'!$C:$C, 'Lista Movimenti'!$B:$B, $A40, 'Lista Movimenti'!$E:$E, "Risparmio", 'Lista Movimenti'!$D:$D, "&gt;=01/12/2026", 'Lista Movimenti'!$D:$D, "&lt;=31/12/2026")</f>
        <v>0</v>
      </c>
      <c r="C40" s="33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ht="22.5" customHeight="1">
      <c r="A41" s="28" t="s">
        <v>14</v>
      </c>
      <c r="B41" s="33">
        <f>SUMIFS('Lista Movimenti'!$C:$C, 'Lista Movimenti'!$B:$B, $A41, 'Lista Movimenti'!$E:$E, "Risparmio", 'Lista Movimenti'!$D:$D, "&gt;=01/12/2026", 'Lista Movimenti'!$D:$D, "&lt;=31/12/2026")</f>
        <v>0</v>
      </c>
      <c r="C41" s="33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22.5" customHeight="1">
      <c r="A42" s="28" t="s">
        <v>19</v>
      </c>
      <c r="B42" s="33">
        <f>SUMIFS('Lista Movimenti'!$C:$C, 'Lista Movimenti'!$B:$B, $A42, 'Lista Movimenti'!$E:$E, "Risparmio", 'Lista Movimenti'!$D:$D, "&gt;=01/12/2026", 'Lista Movimenti'!$D:$D, "&lt;=31/12/2026")</f>
        <v>0</v>
      </c>
      <c r="C42" s="33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 ht="22.5" customHeight="1">
      <c r="A43" s="28" t="s">
        <v>22</v>
      </c>
      <c r="B43" s="33">
        <f>SUMIFS('Lista Movimenti'!$C:$C, 'Lista Movimenti'!$B:$B, $A43, 'Lista Movimenti'!$E:$E, "Risparmio", 'Lista Movimenti'!$D:$D, "&gt;=01/12/2026", 'Lista Movimenti'!$D:$D, "&lt;=31/12/2026")</f>
        <v>0</v>
      </c>
      <c r="C43" s="33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ht="22.5" customHeight="1">
      <c r="A44" s="28" t="s">
        <v>16</v>
      </c>
      <c r="B44" s="33">
        <f>SUMIFS('Lista Movimenti'!$C:$C, 'Lista Movimenti'!$B:$B, $A44, 'Lista Movimenti'!$E:$E, "Risparmio", 'Lista Movimenti'!$D:$D, "&gt;=01/12/2026", 'Lista Movimenti'!$D:$D, "&lt;=31/12/2026")</f>
        <v>0</v>
      </c>
      <c r="C44" s="33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ht="22.5" customHeight="1">
      <c r="A45" s="28" t="s">
        <v>12</v>
      </c>
      <c r="B45" s="33">
        <f>SUMIFS('Lista Movimenti'!$C:$C, 'Lista Movimenti'!$B:$B, $A45, 'Lista Movimenti'!$E:$E, "Risparmio", 'Lista Movimenti'!$D:$D, "&gt;=01/12/2026", 'Lista Movimenti'!$D:$D, "&lt;=31/12/2026")</f>
        <v>0</v>
      </c>
      <c r="C45" s="33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ht="22.5" customHeight="1">
      <c r="A46" s="28" t="s">
        <v>8</v>
      </c>
      <c r="B46" s="33">
        <f>SUMIFS('Lista Movimenti'!$C:$C, 'Lista Movimenti'!$B:$B, $A46, 'Lista Movimenti'!$E:$E, "Risparmio", 'Lista Movimenti'!$D:$D, "&gt;=01/12/2026", 'Lista Movimenti'!$D:$D, "&lt;=31/12/2026")</f>
        <v>0</v>
      </c>
      <c r="C46" s="33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ht="22.5" customHeight="1">
      <c r="A47" s="28" t="s">
        <v>13</v>
      </c>
      <c r="B47" s="33">
        <f>SUMIFS('Lista Movimenti'!$C:$C, 'Lista Movimenti'!$B:$B, $A47, 'Lista Movimenti'!$E:$E, "Risparmio", 'Lista Movimenti'!$D:$D, "&gt;=01/12/2026", 'Lista Movimenti'!$D:$D, "&lt;=31/12/2026")</f>
        <v>0</v>
      </c>
      <c r="C47" s="33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ht="22.5" customHeight="1">
      <c r="A48" s="28" t="s">
        <v>11</v>
      </c>
      <c r="B48" s="33">
        <f>SUMIFS('Lista Movimenti'!$C:$C, 'Lista Movimenti'!$B:$B, $A48, 'Lista Movimenti'!$E:$E, "Risparmio", 'Lista Movimenti'!$D:$D, "&gt;=01/12/2026", 'Lista Movimenti'!$D:$D, "&lt;=31/12/2026")</f>
        <v>0</v>
      </c>
      <c r="C48" s="33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ht="22.5" customHeight="1">
      <c r="A49" s="28" t="s">
        <v>5</v>
      </c>
      <c r="B49" s="33">
        <f>SUMIFS('Lista Movimenti'!$C:$C, 'Lista Movimenti'!$B:$B, $A49, 'Lista Movimenti'!$E:$E, "Risparmio", 'Lista Movimenti'!$D:$D, "&gt;=01/12/2026", 'Lista Movimenti'!$D:$D, "&lt;=31/12/2026")</f>
        <v>0</v>
      </c>
      <c r="C49" s="33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22.5" customHeight="1">
      <c r="A50" s="28" t="s">
        <v>18</v>
      </c>
      <c r="B50" s="33">
        <f>SUMIFS('Lista Movimenti'!$C:$C, 'Lista Movimenti'!$B:$B, $A50, 'Lista Movimenti'!$E:$E, "Risparmio", 'Lista Movimenti'!$D:$D, "&gt;=01/12/2026", 'Lista Movimenti'!$D:$D, "&lt;=31/12/2026")</f>
        <v>0</v>
      </c>
      <c r="C50" s="33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ht="22.5" customHeight="1">
      <c r="A51" s="28" t="s">
        <v>17</v>
      </c>
      <c r="B51" s="33">
        <f>SUMIFS('Lista Movimenti'!$C:$C, 'Lista Movimenti'!$B:$B, $A51, 'Lista Movimenti'!$E:$E, "Risparmio", 'Lista Movimenti'!$D:$D, "&gt;=01/12/2026", 'Lista Movimenti'!$D:$D, "&lt;=31/12/2026")</f>
        <v>0</v>
      </c>
      <c r="C51" s="33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22.5" customHeight="1">
      <c r="A52" s="28" t="s">
        <v>7</v>
      </c>
      <c r="B52" s="33">
        <f>SUMIFS('Lista Movimenti'!$C:$C, 'Lista Movimenti'!$B:$B, $A52, 'Lista Movimenti'!$E:$E, "Risparmio", 'Lista Movimenti'!$D:$D, "&gt;=01/12/2026", 'Lista Movimenti'!$D:$D, "&lt;=31/12/2026")</f>
        <v>0</v>
      </c>
      <c r="C52" s="33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22.5" customHeight="1">
      <c r="A53" s="28" t="s">
        <v>20</v>
      </c>
      <c r="B53" s="33">
        <f>SUMIFS('Lista Movimenti'!$C:$C, 'Lista Movimenti'!$B:$B, $A53, 'Lista Movimenti'!$E:$E, "Risparmio", 'Lista Movimenti'!$D:$D, "&gt;=01/12/2026", 'Lista Movimenti'!$D:$D, "&lt;=31/12/2026")</f>
        <v>0</v>
      </c>
      <c r="C53" s="33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ht="22.5" customHeight="1">
      <c r="A54" s="28" t="s">
        <v>21</v>
      </c>
      <c r="B54" s="33">
        <f>SUMIFS('Lista Movimenti'!$C:$C, 'Lista Movimenti'!$B:$B, $A54, 'Lista Movimenti'!$E:$E, "Risparmio", 'Lista Movimenti'!$D:$D, "&gt;=01/12/2026", 'Lista Movimenti'!$D:$D, "&lt;=31/12/2026")</f>
        <v>0</v>
      </c>
      <c r="C54" s="33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ht="22.5" customHeight="1">
      <c r="A55" s="32" t="s">
        <v>49</v>
      </c>
      <c r="B55" s="33">
        <f>SUM(Risparmi_Dic[Totale])</f>
        <v>250</v>
      </c>
      <c r="C55" s="33">
        <f>SUM(Risparmi_Dic[Obiettivo])</f>
        <v>0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56">
        <v>0.0</v>
      </c>
      <c r="T55" s="19"/>
      <c r="U55" s="19"/>
      <c r="V55" s="19"/>
      <c r="W55" s="19"/>
    </row>
  </sheetData>
  <mergeCells count="1">
    <mergeCell ref="A1:C1"/>
  </mergeCells>
  <conditionalFormatting sqref="C34">
    <cfRule type="cellIs" dxfId="9" priority="1" operator="greaterThan">
      <formula>0</formula>
    </cfRule>
  </conditionalFormatting>
  <conditionalFormatting sqref="C34">
    <cfRule type="cellIs" dxfId="10" priority="2" operator="lessThan">
      <formula>0</formula>
    </cfRule>
  </conditionalFormatting>
  <conditionalFormatting sqref="D34 A34:B34">
    <cfRule type="expression" dxfId="11" priority="3">
      <formula>$C34&gt;0</formula>
    </cfRule>
  </conditionalFormatting>
  <conditionalFormatting sqref="D34 A34:B34">
    <cfRule type="expression" dxfId="12" priority="4">
      <formula>$C34&lt;0</formula>
    </cfRule>
  </conditionalFormatting>
  <conditionalFormatting sqref="P6">
    <cfRule type="notContainsBlanks" dxfId="13" priority="5">
      <formula>LEN(TRIM(P6))&gt;0</formula>
    </cfRule>
  </conditionalFormatting>
  <dataValidations>
    <dataValidation type="list" allowBlank="1" sqref="A4:A7">
      <formula1>#REF!</formula1>
    </dataValidation>
    <dataValidation type="custom" allowBlank="1" showDropDown="1" sqref="B4:C7 C13:D34 B38:C54">
      <formula1>AND(ISNUMBER(B4),(NOT(OR(NOT(ISERROR(DATEVALUE(B4))), AND(ISNUMBER(B4), LEFT(CELL("format", B4))="D")))))</formula1>
    </dataValidation>
    <dataValidation type="list" allowBlank="1" sqref="B13:B34 A38:A54">
      <formula1>#REF!</formula1>
    </dataValidation>
  </dataValidations>
  <drawing r:id="rId1"/>
  <tableParts count="3">
    <tablePart r:id="rId5"/>
    <tablePart r:id="rId6"/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20.75"/>
    <col customWidth="1" min="3" max="3" width="23.63"/>
    <col customWidth="1" min="4" max="4" width="24.25"/>
    <col customWidth="1" min="5" max="5" width="18.75"/>
    <col customWidth="1" min="6" max="6" width="16.13"/>
    <col customWidth="1" min="7" max="7" width="15.13"/>
    <col customWidth="1" min="8" max="8" width="16.13"/>
    <col customWidth="1" min="9" max="9" width="18.5"/>
    <col customWidth="1" min="10" max="10" width="18.38"/>
    <col customWidth="1" min="11" max="11" width="21.75"/>
  </cols>
  <sheetData>
    <row r="1" ht="22.5" customHeight="1">
      <c r="A1" s="63" t="s">
        <v>52</v>
      </c>
      <c r="B1" s="63" t="s">
        <v>53</v>
      </c>
      <c r="C1" s="63" t="s">
        <v>54</v>
      </c>
      <c r="D1" s="63" t="s">
        <v>55</v>
      </c>
      <c r="E1" s="63" t="s">
        <v>56</v>
      </c>
      <c r="F1" s="63" t="s">
        <v>57</v>
      </c>
      <c r="G1" s="63" t="s">
        <v>58</v>
      </c>
      <c r="H1" s="63" t="s">
        <v>59</v>
      </c>
      <c r="I1" s="63" t="s">
        <v>60</v>
      </c>
      <c r="J1" s="63" t="s">
        <v>61</v>
      </c>
      <c r="K1" s="64" t="s">
        <v>62</v>
      </c>
    </row>
    <row r="2" ht="22.5" customHeight="1">
      <c r="A2" s="65" t="s">
        <v>5</v>
      </c>
      <c r="B2" s="5" t="s">
        <v>63</v>
      </c>
      <c r="C2" s="6">
        <v>1000.0</v>
      </c>
      <c r="D2" s="6">
        <f t="shared" ref="D2:D15" si="1">MAX(0, H2 / MAX(1, (YEAR(K2)*12 + MONTH(K2)) - (YEAR(TODAY())*12 + MONTH(TODAY())) + 1))</f>
        <v>356.6666667</v>
      </c>
      <c r="E2" s="6">
        <v>150.0</v>
      </c>
      <c r="F2" s="9">
        <f>SUMIFS('Lista Movimenti'!$C:$C, 'Lista Movimenti'!$B:$B, $A2, 'Lista Movimenti'!$E:$E, "Spesa")</f>
        <v>920</v>
      </c>
      <c r="G2" s="9">
        <f>E2 + SUMIFS('Lista Movimenti'!$C:$C, 'Lista Movimenti'!$B:$B, $A2, 'Lista Movimenti'!$E:$E, "Risparmio")-F2</f>
        <v>-70</v>
      </c>
      <c r="H2" s="9">
        <f t="shared" ref="H2:H15" si="2">(C2-G2)</f>
        <v>1070</v>
      </c>
      <c r="I2" s="7">
        <v>46023.0</v>
      </c>
      <c r="J2" s="66"/>
      <c r="K2" s="7">
        <v>46226.0</v>
      </c>
    </row>
    <row r="3" ht="22.5" customHeight="1">
      <c r="A3" s="65" t="s">
        <v>15</v>
      </c>
      <c r="B3" s="11" t="s">
        <v>63</v>
      </c>
      <c r="C3" s="6">
        <v>2000.0</v>
      </c>
      <c r="D3" s="6">
        <f t="shared" si="1"/>
        <v>316.2857143</v>
      </c>
      <c r="E3" s="6">
        <v>0.0</v>
      </c>
      <c r="F3" s="9">
        <f>SUMIFS('Lista Movimenti'!$C:$C, 'Lista Movimenti'!$B:$B, $A3, 'Lista Movimenti'!$E:$E, "Spesa")</f>
        <v>1609</v>
      </c>
      <c r="G3" s="9">
        <f>E3 + SUMIFS('Lista Movimenti'!$C:$C, 'Lista Movimenti'!$B:$B, $A3, 'Lista Movimenti'!$E:$E, "Risparmio")-F3</f>
        <v>-214</v>
      </c>
      <c r="H3" s="9">
        <f t="shared" si="2"/>
        <v>2214</v>
      </c>
      <c r="I3" s="12"/>
      <c r="J3" s="66"/>
      <c r="K3" s="7">
        <v>46341.0</v>
      </c>
    </row>
    <row r="4" ht="22.5" customHeight="1">
      <c r="A4" s="65" t="s">
        <v>14</v>
      </c>
      <c r="B4" s="5" t="s">
        <v>63</v>
      </c>
      <c r="C4" s="6">
        <v>250.0</v>
      </c>
      <c r="D4" s="6">
        <f t="shared" si="1"/>
        <v>0</v>
      </c>
      <c r="E4" s="9"/>
      <c r="F4" s="9">
        <f>SUMIFS('Lista Movimenti'!$C:$C, 'Lista Movimenti'!$B:$B, $A4, 'Lista Movimenti'!$E:$E, "Spesa")</f>
        <v>129</v>
      </c>
      <c r="G4" s="9">
        <f>E4 + SUMIFS('Lista Movimenti'!$C:$C, 'Lista Movimenti'!$B:$B, $A4, 'Lista Movimenti'!$E:$E, "Risparmio")-F4</f>
        <v>1371</v>
      </c>
      <c r="H4" s="9">
        <f t="shared" si="2"/>
        <v>-1121</v>
      </c>
      <c r="I4" s="12"/>
      <c r="J4" s="66"/>
      <c r="K4" s="7">
        <v>46371.0</v>
      </c>
    </row>
    <row r="5" ht="22.5" customHeight="1">
      <c r="A5" s="65" t="s">
        <v>11</v>
      </c>
      <c r="B5" s="11" t="s">
        <v>64</v>
      </c>
      <c r="C5" s="6">
        <v>100.0</v>
      </c>
      <c r="D5" s="6">
        <f t="shared" si="1"/>
        <v>18.75</v>
      </c>
      <c r="E5" s="9"/>
      <c r="F5" s="9">
        <f>SUMIFS('Lista Movimenti'!$C:$C, 'Lista Movimenti'!$B:$B, $A5, 'Lista Movimenti'!$E:$E, "Spesa")</f>
        <v>250</v>
      </c>
      <c r="G5" s="9">
        <f>E5 + SUMIFS('Lista Movimenti'!$C:$C, 'Lista Movimenti'!$B:$B, $A5, 'Lista Movimenti'!$E:$E, "Risparmio")-F5</f>
        <v>25</v>
      </c>
      <c r="H5" s="9">
        <f t="shared" si="2"/>
        <v>75</v>
      </c>
      <c r="I5" s="12"/>
      <c r="J5" s="66"/>
      <c r="K5" s="7">
        <v>46242.0</v>
      </c>
    </row>
    <row r="6" ht="22.5" customHeight="1">
      <c r="A6" s="65"/>
      <c r="B6" s="13"/>
      <c r="C6" s="9"/>
      <c r="D6" s="6">
        <f t="shared" si="1"/>
        <v>0</v>
      </c>
      <c r="E6" s="9"/>
      <c r="F6" s="9">
        <f>SUMIFS('Lista Movimenti'!$C:$C, 'Lista Movimenti'!$B:$B, $A6, 'Lista Movimenti'!$E:$E, "Spesa")</f>
        <v>0</v>
      </c>
      <c r="G6" s="9">
        <f>E6 + SUMIFS('Lista Movimenti'!$C:$C, 'Lista Movimenti'!$B:$B, $A6, 'Lista Movimenti'!$E:$E, "Risparmio")-F6</f>
        <v>0</v>
      </c>
      <c r="H6" s="9">
        <f t="shared" si="2"/>
        <v>0</v>
      </c>
      <c r="I6" s="12"/>
      <c r="J6" s="66"/>
      <c r="K6" s="12"/>
    </row>
    <row r="7" ht="22.5" customHeight="1">
      <c r="A7" s="65"/>
      <c r="B7" s="13"/>
      <c r="C7" s="9"/>
      <c r="D7" s="6">
        <f t="shared" si="1"/>
        <v>0</v>
      </c>
      <c r="E7" s="9"/>
      <c r="F7" s="9">
        <f>SUMIFS('Lista Movimenti'!$C:$C, 'Lista Movimenti'!$B:$B, $A7, 'Lista Movimenti'!$E:$E, "Spesa")</f>
        <v>0</v>
      </c>
      <c r="G7" s="9">
        <f>E7 + SUMIFS('Lista Movimenti'!$C:$C, 'Lista Movimenti'!$B:$B, $A7, 'Lista Movimenti'!$E:$E, "Risparmio")-F7</f>
        <v>0</v>
      </c>
      <c r="H7" s="9">
        <f t="shared" si="2"/>
        <v>0</v>
      </c>
      <c r="I7" s="12"/>
      <c r="J7" s="66"/>
      <c r="K7" s="12"/>
    </row>
    <row r="8" ht="22.5" customHeight="1">
      <c r="A8" s="65"/>
      <c r="B8" s="13"/>
      <c r="C8" s="9"/>
      <c r="D8" s="6">
        <f t="shared" si="1"/>
        <v>0</v>
      </c>
      <c r="E8" s="9"/>
      <c r="F8" s="9">
        <f>SUMIFS('Lista Movimenti'!$C:$C, 'Lista Movimenti'!$B:$B, $A8, 'Lista Movimenti'!$E:$E, "Spesa")</f>
        <v>0</v>
      </c>
      <c r="G8" s="9">
        <f>E8 + SUMIFS('Lista Movimenti'!$C:$C, 'Lista Movimenti'!$B:$B, $A8, 'Lista Movimenti'!$E:$E, "Risparmio")-F8</f>
        <v>0</v>
      </c>
      <c r="H8" s="9">
        <f t="shared" si="2"/>
        <v>0</v>
      </c>
      <c r="I8" s="12"/>
      <c r="J8" s="66"/>
      <c r="K8" s="12"/>
    </row>
    <row r="9" ht="22.5" customHeight="1">
      <c r="A9" s="65"/>
      <c r="B9" s="13"/>
      <c r="C9" s="9"/>
      <c r="D9" s="6">
        <f t="shared" si="1"/>
        <v>0</v>
      </c>
      <c r="E9" s="9"/>
      <c r="F9" s="9">
        <f>SUMIFS('Lista Movimenti'!$C:$C, 'Lista Movimenti'!$B:$B, $A9, 'Lista Movimenti'!$E:$E, "Spesa")</f>
        <v>0</v>
      </c>
      <c r="G9" s="9">
        <f>E9 + SUMIFS('Lista Movimenti'!$C:$C, 'Lista Movimenti'!$B:$B, $A9, 'Lista Movimenti'!$E:$E, "Risparmio")-F9</f>
        <v>0</v>
      </c>
      <c r="H9" s="9">
        <f t="shared" si="2"/>
        <v>0</v>
      </c>
      <c r="I9" s="12"/>
      <c r="J9" s="66"/>
      <c r="K9" s="12"/>
    </row>
    <row r="10" ht="22.5" customHeight="1">
      <c r="A10" s="65"/>
      <c r="B10" s="13"/>
      <c r="C10" s="9"/>
      <c r="D10" s="6">
        <f t="shared" si="1"/>
        <v>0</v>
      </c>
      <c r="E10" s="9"/>
      <c r="F10" s="9">
        <f>SUMIFS('Lista Movimenti'!$C:$C, 'Lista Movimenti'!$B:$B, $A10, 'Lista Movimenti'!$E:$E, "Spesa")</f>
        <v>0</v>
      </c>
      <c r="G10" s="9">
        <f>E10 + SUMIFS('Lista Movimenti'!$C:$C, 'Lista Movimenti'!$B:$B, $A10, 'Lista Movimenti'!$E:$E, "Risparmio")-F10</f>
        <v>0</v>
      </c>
      <c r="H10" s="9">
        <f t="shared" si="2"/>
        <v>0</v>
      </c>
      <c r="I10" s="12"/>
      <c r="J10" s="66"/>
      <c r="K10" s="12"/>
    </row>
    <row r="11" ht="22.5" customHeight="1">
      <c r="A11" s="67"/>
      <c r="B11" s="13"/>
      <c r="C11" s="9"/>
      <c r="D11" s="6">
        <f t="shared" si="1"/>
        <v>0</v>
      </c>
      <c r="E11" s="9"/>
      <c r="F11" s="9">
        <f>SUMIFS('Lista Movimenti'!$C:$C, 'Lista Movimenti'!$B:$B, $A11, 'Lista Movimenti'!$E:$E, "Spesa")</f>
        <v>0</v>
      </c>
      <c r="G11" s="9">
        <f>E11 + SUMIFS('Lista Movimenti'!$C:$C, 'Lista Movimenti'!$B:$B, $A11, 'Lista Movimenti'!$E:$E, "Risparmio")-F11</f>
        <v>0</v>
      </c>
      <c r="H11" s="9">
        <f t="shared" si="2"/>
        <v>0</v>
      </c>
      <c r="I11" s="12"/>
      <c r="J11" s="66"/>
      <c r="K11" s="12"/>
    </row>
    <row r="12" ht="22.5" customHeight="1">
      <c r="A12" s="67"/>
      <c r="B12" s="13"/>
      <c r="C12" s="9"/>
      <c r="D12" s="6">
        <f t="shared" si="1"/>
        <v>0</v>
      </c>
      <c r="E12" s="9"/>
      <c r="F12" s="9">
        <f>SUMIFS('Lista Movimenti'!$C:$C, 'Lista Movimenti'!$B:$B, $A12, 'Lista Movimenti'!$E:$E, "Spesa")</f>
        <v>0</v>
      </c>
      <c r="G12" s="9">
        <f>E12 + SUMIFS('Lista Movimenti'!$C:$C, 'Lista Movimenti'!$B:$B, $A12, 'Lista Movimenti'!$E:$E, "Risparmio")-F12</f>
        <v>0</v>
      </c>
      <c r="H12" s="9">
        <f t="shared" si="2"/>
        <v>0</v>
      </c>
      <c r="I12" s="12"/>
      <c r="J12" s="66"/>
      <c r="K12" s="12"/>
    </row>
    <row r="13" ht="22.5" customHeight="1">
      <c r="A13" s="67"/>
      <c r="B13" s="13"/>
      <c r="C13" s="9"/>
      <c r="D13" s="6">
        <f t="shared" si="1"/>
        <v>0</v>
      </c>
      <c r="E13" s="9"/>
      <c r="F13" s="9">
        <f>SUMIFS('Lista Movimenti'!$C:$C, 'Lista Movimenti'!$B:$B, $A13, 'Lista Movimenti'!$E:$E, "Spesa")</f>
        <v>0</v>
      </c>
      <c r="G13" s="9">
        <f>E13 + SUMIFS('Lista Movimenti'!$C:$C, 'Lista Movimenti'!$B:$B, $A13, 'Lista Movimenti'!$E:$E, "Risparmio")-F13</f>
        <v>0</v>
      </c>
      <c r="H13" s="9">
        <f t="shared" si="2"/>
        <v>0</v>
      </c>
      <c r="I13" s="12"/>
      <c r="J13" s="66"/>
      <c r="K13" s="12"/>
    </row>
    <row r="14" ht="22.5" customHeight="1">
      <c r="A14" s="67"/>
      <c r="B14" s="13"/>
      <c r="C14" s="9"/>
      <c r="D14" s="6">
        <f t="shared" si="1"/>
        <v>0</v>
      </c>
      <c r="E14" s="9"/>
      <c r="F14" s="9">
        <f>SUMIFS('Lista Movimenti'!$C:$C, 'Lista Movimenti'!$B:$B, $A14, 'Lista Movimenti'!$E:$E, "Spesa")</f>
        <v>0</v>
      </c>
      <c r="G14" s="9">
        <f>E14 + SUMIFS('Lista Movimenti'!$C:$C, 'Lista Movimenti'!$B:$B, $A14, 'Lista Movimenti'!$E:$E, "Risparmio")-F14</f>
        <v>0</v>
      </c>
      <c r="H14" s="9">
        <f t="shared" si="2"/>
        <v>0</v>
      </c>
      <c r="I14" s="12"/>
      <c r="J14" s="66"/>
      <c r="K14" s="12"/>
    </row>
    <row r="15" ht="22.5" customHeight="1">
      <c r="A15" s="67"/>
      <c r="B15" s="13"/>
      <c r="C15" s="9"/>
      <c r="D15" s="6">
        <f t="shared" si="1"/>
        <v>0</v>
      </c>
      <c r="E15" s="9"/>
      <c r="F15" s="9">
        <f>SUMIFS('Lista Movimenti'!$C:$C, 'Lista Movimenti'!$B:$B, $A15, 'Lista Movimenti'!$E:$E, "Spesa")</f>
        <v>0</v>
      </c>
      <c r="G15" s="9">
        <f>E15 + SUMIFS('Lista Movimenti'!$C:$C, 'Lista Movimenti'!$B:$B, $A15, 'Lista Movimenti'!$E:$E, "Risparmio")-F15</f>
        <v>0</v>
      </c>
      <c r="H15" s="9">
        <f t="shared" si="2"/>
        <v>0</v>
      </c>
      <c r="I15" s="12"/>
      <c r="J15" s="66"/>
      <c r="K15" s="12"/>
    </row>
    <row r="16">
      <c r="A16" s="68"/>
    </row>
    <row r="17">
      <c r="A17" s="68"/>
    </row>
    <row r="18" ht="27.0" customHeight="1">
      <c r="A18" s="69" t="s">
        <v>65</v>
      </c>
      <c r="B18" s="64" t="s">
        <v>66</v>
      </c>
      <c r="C18" s="64" t="s">
        <v>67</v>
      </c>
      <c r="D18" s="64" t="s">
        <v>68</v>
      </c>
      <c r="E18" s="64" t="s">
        <v>69</v>
      </c>
      <c r="F18" s="64" t="s">
        <v>70</v>
      </c>
    </row>
    <row r="19" ht="22.5" customHeight="1">
      <c r="A19" s="70">
        <f>SUM(C2:C15)</f>
        <v>3350</v>
      </c>
      <c r="B19" s="70">
        <f>SUM(G2:G15)</f>
        <v>1112</v>
      </c>
      <c r="C19" s="71">
        <f>(A19-B19)</f>
        <v>2238</v>
      </c>
      <c r="D19" s="72">
        <f>(B19/A19)</f>
        <v>0.3319402985</v>
      </c>
      <c r="E19" s="72">
        <f>(1-D19)</f>
        <v>0.6680597015</v>
      </c>
      <c r="F19" s="71">
        <f>SUM(D2:D15)</f>
        <v>691.702381</v>
      </c>
    </row>
    <row r="20">
      <c r="A20" s="68"/>
    </row>
    <row r="21">
      <c r="A21" s="68"/>
    </row>
    <row r="22">
      <c r="A22" s="68"/>
    </row>
    <row r="23">
      <c r="A23" s="68"/>
    </row>
    <row r="24">
      <c r="A24" s="68"/>
    </row>
    <row r="25">
      <c r="A25" s="68"/>
    </row>
    <row r="26">
      <c r="A26" s="68"/>
    </row>
    <row r="27">
      <c r="A27" s="68"/>
    </row>
    <row r="28">
      <c r="A28" s="68"/>
    </row>
    <row r="29">
      <c r="A29" s="68"/>
    </row>
    <row r="30">
      <c r="A30" s="68"/>
    </row>
    <row r="31">
      <c r="A31" s="68"/>
    </row>
    <row r="32">
      <c r="A32" s="68"/>
    </row>
    <row r="33">
      <c r="A33" s="68"/>
    </row>
    <row r="34">
      <c r="A34" s="68"/>
    </row>
    <row r="35">
      <c r="A35" s="68"/>
    </row>
    <row r="36">
      <c r="A36" s="68"/>
    </row>
    <row r="37">
      <c r="A37" s="68"/>
    </row>
    <row r="38">
      <c r="A38" s="68"/>
    </row>
    <row r="39">
      <c r="A39" s="68"/>
    </row>
    <row r="40">
      <c r="A40" s="68"/>
    </row>
    <row r="41">
      <c r="A41" s="68"/>
    </row>
    <row r="42">
      <c r="A42" s="68"/>
    </row>
    <row r="43">
      <c r="A43" s="68"/>
    </row>
    <row r="44">
      <c r="A44" s="68"/>
    </row>
    <row r="45">
      <c r="A45" s="68"/>
    </row>
    <row r="46">
      <c r="A46" s="68"/>
    </row>
    <row r="47">
      <c r="A47" s="68"/>
    </row>
    <row r="48">
      <c r="A48" s="68"/>
    </row>
    <row r="49">
      <c r="A49" s="68"/>
    </row>
    <row r="50">
      <c r="A50" s="68"/>
    </row>
    <row r="51">
      <c r="A51" s="68"/>
    </row>
    <row r="52">
      <c r="A52" s="68"/>
    </row>
    <row r="53">
      <c r="A53" s="68"/>
    </row>
    <row r="54">
      <c r="A54" s="68"/>
    </row>
    <row r="55">
      <c r="A55" s="68"/>
    </row>
    <row r="56">
      <c r="A56" s="68"/>
    </row>
    <row r="57">
      <c r="A57" s="68"/>
    </row>
    <row r="58">
      <c r="A58" s="68"/>
    </row>
    <row r="59">
      <c r="A59" s="68"/>
    </row>
    <row r="60">
      <c r="A60" s="68"/>
    </row>
    <row r="61">
      <c r="A61" s="68"/>
    </row>
    <row r="62">
      <c r="A62" s="68"/>
    </row>
    <row r="63">
      <c r="A63" s="68"/>
    </row>
    <row r="64">
      <c r="A64" s="68"/>
    </row>
    <row r="65">
      <c r="A65" s="68"/>
    </row>
    <row r="66">
      <c r="A66" s="68"/>
    </row>
    <row r="67">
      <c r="A67" s="68"/>
    </row>
    <row r="68">
      <c r="A68" s="68"/>
    </row>
    <row r="69">
      <c r="A69" s="68"/>
    </row>
    <row r="70">
      <c r="A70" s="68"/>
    </row>
    <row r="71">
      <c r="A71" s="68"/>
    </row>
    <row r="72">
      <c r="A72" s="68"/>
    </row>
    <row r="73">
      <c r="A73" s="68"/>
    </row>
    <row r="74">
      <c r="A74" s="68"/>
    </row>
    <row r="75">
      <c r="A75" s="68"/>
    </row>
    <row r="76">
      <c r="A76" s="68"/>
    </row>
    <row r="77">
      <c r="A77" s="68"/>
    </row>
    <row r="78">
      <c r="A78" s="68"/>
    </row>
    <row r="79">
      <c r="A79" s="68"/>
    </row>
    <row r="80">
      <c r="A80" s="68"/>
    </row>
    <row r="81">
      <c r="A81" s="68"/>
    </row>
    <row r="82">
      <c r="A82" s="68"/>
    </row>
    <row r="83">
      <c r="A83" s="68"/>
    </row>
    <row r="84">
      <c r="A84" s="68"/>
    </row>
    <row r="85">
      <c r="A85" s="68"/>
    </row>
    <row r="86">
      <c r="A86" s="68"/>
    </row>
    <row r="87">
      <c r="A87" s="68"/>
    </row>
    <row r="88">
      <c r="A88" s="68"/>
    </row>
    <row r="89">
      <c r="A89" s="68"/>
    </row>
    <row r="90">
      <c r="A90" s="68"/>
    </row>
    <row r="91">
      <c r="A91" s="68"/>
    </row>
    <row r="92">
      <c r="A92" s="68"/>
    </row>
    <row r="93">
      <c r="A93" s="68"/>
    </row>
    <row r="94">
      <c r="A94" s="68"/>
    </row>
    <row r="95">
      <c r="A95" s="68"/>
    </row>
    <row r="96">
      <c r="A96" s="68"/>
    </row>
    <row r="97">
      <c r="A97" s="68"/>
    </row>
    <row r="98">
      <c r="A98" s="68"/>
    </row>
    <row r="99">
      <c r="A99" s="68"/>
    </row>
    <row r="100">
      <c r="A100" s="68"/>
    </row>
    <row r="101">
      <c r="A101" s="68"/>
    </row>
    <row r="102">
      <c r="A102" s="68"/>
    </row>
    <row r="103">
      <c r="A103" s="68"/>
    </row>
    <row r="104">
      <c r="A104" s="68"/>
    </row>
    <row r="105">
      <c r="A105" s="68"/>
    </row>
    <row r="106">
      <c r="A106" s="68"/>
    </row>
    <row r="107">
      <c r="A107" s="68"/>
    </row>
    <row r="108">
      <c r="A108" s="68"/>
    </row>
  </sheetData>
  <conditionalFormatting sqref="G2:G15">
    <cfRule type="expression" dxfId="15" priority="1">
      <formula>AND(B2="In corso", G2&gt;-500, G2&lt;0)</formula>
    </cfRule>
  </conditionalFormatting>
  <conditionalFormatting sqref="G2:G15">
    <cfRule type="cellIs" dxfId="16" priority="2" operator="lessThan">
      <formula>-500</formula>
    </cfRule>
  </conditionalFormatting>
  <conditionalFormatting sqref="G2:G15">
    <cfRule type="cellIs" dxfId="17" priority="3" operator="greaterThan">
      <formula>0</formula>
    </cfRule>
  </conditionalFormatting>
  <dataValidations>
    <dataValidation type="list" allowBlank="1" sqref="B2:B15">
      <formula1>"Non iniziata,In corso,Bloccata,Completata"</formula1>
    </dataValidation>
    <dataValidation type="list" allowBlank="1" sqref="A2:A15">
      <formula1>#REF!</formula1>
    </dataValidation>
    <dataValidation type="custom" allowBlank="1" showDropDown="1" sqref="C2:C15 G2:G15">
      <formula1>AND(ISNUMBER(C2),(NOT(OR(NOT(ISERROR(DATEVALUE(C2))), AND(ISNUMBER(C2), LEFT(CELL("format", C2))="D")))))</formula1>
    </dataValidation>
    <dataValidation type="custom" allowBlank="1" showDropDown="1" sqref="I2:I15">
      <formula1>OR(NOT(ISERROR(DATEVALUE(I2))), AND(ISNUMBER(I2), LEFT(CELL("format", I2))="D"))</formula1>
    </dataValidation>
    <dataValidation type="custom" allowBlank="1" showDropDown="1" sqref="K2:K15">
      <formula1>OR(NOT(ISERROR(DATEVALUE(K2))), AND(ISNUMBER(K2), LEFT(CELL("format", K2))="D"))</formula1>
    </dataValidation>
    <dataValidation allowBlank="1" showDropDown="1" sqref="J2:J15"/>
    <dataValidation type="custom" allowBlank="1" showDropDown="1" sqref="D2:F15 H2:H15 A19:F19">
      <formula1>AND(ISNUMBER(A2),(NOT(OR(NOT(ISERROR(DATEVALUE(A2))), AND(ISNUMBER(A2), LEFT(CELL("format", A2))="D")))))</formula1>
    </dataValidation>
  </dataValidations>
  <drawing r:id="rId1"/>
  <tableParts count="2">
    <tablePart r:id="rId4"/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22.63"/>
    <col customWidth="1" min="3" max="3" width="19.63"/>
    <col customWidth="1" min="4" max="4" width="24.0"/>
    <col customWidth="1" min="5" max="5" width="23.38"/>
    <col customWidth="1" min="6" max="6" width="23.75"/>
    <col customWidth="1" min="7" max="7" width="24.13"/>
    <col customWidth="1" min="8" max="8" width="21.38"/>
  </cols>
  <sheetData>
    <row r="1" ht="22.5" customHeight="1">
      <c r="A1" s="73" t="s">
        <v>71</v>
      </c>
      <c r="B1" s="73" t="s">
        <v>1</v>
      </c>
      <c r="C1" s="73" t="s">
        <v>72</v>
      </c>
      <c r="D1" s="73" t="s">
        <v>73</v>
      </c>
      <c r="E1" s="73" t="s">
        <v>74</v>
      </c>
      <c r="F1" s="73" t="s">
        <v>75</v>
      </c>
      <c r="G1" s="73" t="s">
        <v>76</v>
      </c>
      <c r="H1" s="73" t="s">
        <v>77</v>
      </c>
      <c r="I1" s="73" t="s">
        <v>78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 ht="22.5" customHeight="1">
      <c r="A2" s="75" t="s">
        <v>79</v>
      </c>
      <c r="B2" s="76" t="s">
        <v>80</v>
      </c>
      <c r="C2" s="77"/>
      <c r="D2" s="78"/>
      <c r="E2" s="78"/>
      <c r="F2" s="70" t="str">
        <f>IFERROR(__xludf.DUMMYFUNCTION("IF(B2=""Azioni"", GOOGLEFINANCE(E2), """")"),"")</f>
        <v/>
      </c>
      <c r="G2" s="70"/>
      <c r="H2" s="78">
        <f>SUMPRODUCT((Investimenti!B2="Azioni") * (Investimenti!C2) * (Investimenti!F2))</f>
        <v>0</v>
      </c>
      <c r="I2" s="78">
        <f t="shared" ref="I2:I25" si="1">(H2-G2)</f>
        <v>0</v>
      </c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</row>
    <row r="3" ht="22.5" customHeight="1">
      <c r="A3" s="75" t="s">
        <v>81</v>
      </c>
      <c r="B3" s="76" t="s">
        <v>82</v>
      </c>
      <c r="C3" s="79">
        <v>12.0</v>
      </c>
      <c r="D3" s="70">
        <v>876.0</v>
      </c>
      <c r="E3" s="70" t="s">
        <v>83</v>
      </c>
      <c r="F3" s="70">
        <f>IFERROR(__xludf.DUMMYFUNCTION("IF(B3=""Azioni"", GOOGLEFINANCE(E3), """")"),435.79)</f>
        <v>435.79</v>
      </c>
      <c r="G3" s="78">
        <f>SUMPRODUCT((Investimenti!B2:B100="Azioni") * (Investimenti!C2:C100) * (Investimenti!D2:D100))</f>
        <v>10512</v>
      </c>
      <c r="H3" s="78">
        <f>SUMPRODUCT((Investimenti!B3="Azioni") * (Investimenti!C3) * (Investimenti!F3))</f>
        <v>5229.48</v>
      </c>
      <c r="I3" s="78">
        <f t="shared" si="1"/>
        <v>-5282.52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</row>
    <row r="4" ht="22.5" customHeight="1">
      <c r="A4" s="75" t="s">
        <v>84</v>
      </c>
      <c r="B4" s="76" t="s">
        <v>85</v>
      </c>
      <c r="C4" s="77"/>
      <c r="D4" s="78"/>
      <c r="E4" s="78"/>
      <c r="F4" s="70" t="str">
        <f>IFERROR(__xludf.DUMMYFUNCTION("IF(B4=""Azioni"", GOOGLEFINANCE(E4), """")"),"")</f>
        <v/>
      </c>
      <c r="G4" s="78"/>
      <c r="H4" s="78">
        <f>SUMPRODUCT((Investimenti!B4="Azioni") * (Investimenti!C4) * (Investimenti!F4))</f>
        <v>0</v>
      </c>
      <c r="I4" s="78">
        <f t="shared" si="1"/>
        <v>0</v>
      </c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</row>
    <row r="5" ht="22.5" customHeight="1">
      <c r="A5" s="80"/>
      <c r="B5" s="81"/>
      <c r="C5" s="77"/>
      <c r="D5" s="78"/>
      <c r="E5" s="78"/>
      <c r="F5" s="70" t="str">
        <f>IFERROR(__xludf.DUMMYFUNCTION("IF(B5=""Azioni"", GOOGLEFINANCE(E5), """")"),"")</f>
        <v/>
      </c>
      <c r="G5" s="78"/>
      <c r="H5" s="78">
        <f>SUMPRODUCT((Investimenti!B5="Azioni") * (Investimenti!C5) * (Investimenti!F5))</f>
        <v>0</v>
      </c>
      <c r="I5" s="78">
        <f t="shared" si="1"/>
        <v>0</v>
      </c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</row>
    <row r="6" ht="22.5" customHeight="1">
      <c r="A6" s="80"/>
      <c r="B6" s="81"/>
      <c r="C6" s="77"/>
      <c r="D6" s="78"/>
      <c r="E6" s="78"/>
      <c r="F6" s="70" t="str">
        <f>IFERROR(__xludf.DUMMYFUNCTION("IF(B6=""Azioni"", GOOGLEFINANCE(E6), """")"),"")</f>
        <v/>
      </c>
      <c r="G6" s="78"/>
      <c r="H6" s="78">
        <f>SUMPRODUCT((Investimenti!B6="Azioni") * (Investimenti!C6) * (Investimenti!F6))</f>
        <v>0</v>
      </c>
      <c r="I6" s="78">
        <f t="shared" si="1"/>
        <v>0</v>
      </c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</row>
    <row r="7" ht="22.5" customHeight="1">
      <c r="A7" s="80"/>
      <c r="B7" s="81"/>
      <c r="C7" s="77"/>
      <c r="D7" s="78"/>
      <c r="E7" s="78"/>
      <c r="F7" s="70" t="str">
        <f>IFERROR(__xludf.DUMMYFUNCTION("IF(B7=""Azioni"", GOOGLEFINANCE(E7), """")"),"")</f>
        <v/>
      </c>
      <c r="G7" s="78"/>
      <c r="H7" s="78">
        <f>SUMPRODUCT((Investimenti!B7="Azioni") * (Investimenti!C7) * (Investimenti!F7))</f>
        <v>0</v>
      </c>
      <c r="I7" s="78">
        <f t="shared" si="1"/>
        <v>0</v>
      </c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</row>
    <row r="8" ht="22.5" customHeight="1">
      <c r="A8" s="80"/>
      <c r="B8" s="81"/>
      <c r="C8" s="77"/>
      <c r="D8" s="78"/>
      <c r="E8" s="78"/>
      <c r="F8" s="70" t="str">
        <f>IFERROR(__xludf.DUMMYFUNCTION("IF(B8=""Azioni"", GOOGLEFINANCE(E8), """")"),"")</f>
        <v/>
      </c>
      <c r="G8" s="78"/>
      <c r="H8" s="78">
        <f>SUMPRODUCT((Investimenti!B8="Azioni") * (Investimenti!C8) * (Investimenti!F8))</f>
        <v>0</v>
      </c>
      <c r="I8" s="78">
        <f t="shared" si="1"/>
        <v>0</v>
      </c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</row>
    <row r="9" ht="22.5" customHeight="1">
      <c r="A9" s="80"/>
      <c r="B9" s="81"/>
      <c r="C9" s="77"/>
      <c r="D9" s="78"/>
      <c r="E9" s="78"/>
      <c r="F9" s="70" t="str">
        <f>IFERROR(__xludf.DUMMYFUNCTION("IF(B9=""Azioni"", GOOGLEFINANCE(E9), """")"),"")</f>
        <v/>
      </c>
      <c r="G9" s="78"/>
      <c r="H9" s="78">
        <f>SUMPRODUCT((Investimenti!B9="Azioni") * (Investimenti!C9) * (Investimenti!F9))</f>
        <v>0</v>
      </c>
      <c r="I9" s="78">
        <f t="shared" si="1"/>
        <v>0</v>
      </c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</row>
    <row r="10" ht="22.5" customHeight="1">
      <c r="A10" s="80"/>
      <c r="B10" s="81"/>
      <c r="C10" s="77"/>
      <c r="D10" s="78"/>
      <c r="E10" s="78"/>
      <c r="F10" s="70" t="str">
        <f>IFERROR(__xludf.DUMMYFUNCTION("IF(B10=""Azioni"", GOOGLEFINANCE(E10), """")"),"")</f>
        <v/>
      </c>
      <c r="G10" s="78"/>
      <c r="H10" s="78">
        <f>SUMPRODUCT((Investimenti!B10="Azioni") * (Investimenti!C10) * (Investimenti!F10))</f>
        <v>0</v>
      </c>
      <c r="I10" s="78">
        <f t="shared" si="1"/>
        <v>0</v>
      </c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</row>
    <row r="11" ht="22.5" customHeight="1">
      <c r="A11" s="80"/>
      <c r="B11" s="81"/>
      <c r="C11" s="77"/>
      <c r="D11" s="78"/>
      <c r="E11" s="78"/>
      <c r="F11" s="70" t="str">
        <f>IFERROR(__xludf.DUMMYFUNCTION("IF(B11=""Azioni"", GOOGLEFINANCE(E11), """")"),"")</f>
        <v/>
      </c>
      <c r="G11" s="78"/>
      <c r="H11" s="78">
        <f>SUMPRODUCT((Investimenti!B11="Azioni") * (Investimenti!C11) * (Investimenti!F11))</f>
        <v>0</v>
      </c>
      <c r="I11" s="78">
        <f t="shared" si="1"/>
        <v>0</v>
      </c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</row>
    <row r="12" ht="22.5" customHeight="1">
      <c r="A12" s="80"/>
      <c r="B12" s="81"/>
      <c r="C12" s="77"/>
      <c r="D12" s="78"/>
      <c r="E12" s="78"/>
      <c r="F12" s="70" t="str">
        <f>IFERROR(__xludf.DUMMYFUNCTION("IF(B12=""Azioni"", GOOGLEFINANCE(E12), """")"),"")</f>
        <v/>
      </c>
      <c r="G12" s="78"/>
      <c r="H12" s="78">
        <f>SUMPRODUCT((Investimenti!B12="Azioni") * (Investimenti!C12) * (Investimenti!F12))</f>
        <v>0</v>
      </c>
      <c r="I12" s="78">
        <f t="shared" si="1"/>
        <v>0</v>
      </c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</row>
    <row r="13" ht="22.5" customHeight="1">
      <c r="A13" s="80"/>
      <c r="B13" s="81"/>
      <c r="C13" s="77"/>
      <c r="D13" s="78"/>
      <c r="E13" s="78"/>
      <c r="F13" s="70" t="str">
        <f>IFERROR(__xludf.DUMMYFUNCTION("IF(B13=""Azioni"", GOOGLEFINANCE(E13), """")"),"")</f>
        <v/>
      </c>
      <c r="G13" s="78"/>
      <c r="H13" s="78">
        <f>SUMPRODUCT((Investimenti!B13="Azioni") * (Investimenti!C13) * (Investimenti!F13))</f>
        <v>0</v>
      </c>
      <c r="I13" s="78">
        <f t="shared" si="1"/>
        <v>0</v>
      </c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</row>
    <row r="14" ht="22.5" customHeight="1">
      <c r="A14" s="80"/>
      <c r="B14" s="81"/>
      <c r="C14" s="77"/>
      <c r="D14" s="78"/>
      <c r="E14" s="78"/>
      <c r="F14" s="70" t="str">
        <f>IFERROR(__xludf.DUMMYFUNCTION("IF(B14=""Azioni"", GOOGLEFINANCE(E14), """")"),"")</f>
        <v/>
      </c>
      <c r="G14" s="78"/>
      <c r="H14" s="78">
        <f>SUMPRODUCT((Investimenti!B14="Azioni") * (Investimenti!C14) * (Investimenti!F14))</f>
        <v>0</v>
      </c>
      <c r="I14" s="78">
        <f t="shared" si="1"/>
        <v>0</v>
      </c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</row>
    <row r="15" ht="22.5" customHeight="1">
      <c r="A15" s="80"/>
      <c r="B15" s="81"/>
      <c r="C15" s="77"/>
      <c r="D15" s="78"/>
      <c r="E15" s="78"/>
      <c r="F15" s="70" t="str">
        <f>IFERROR(__xludf.DUMMYFUNCTION("IF(B15=""Azioni"", GOOGLEFINANCE(E15), """")"),"")</f>
        <v/>
      </c>
      <c r="G15" s="78"/>
      <c r="H15" s="78">
        <f>SUMPRODUCT((Investimenti!B15="Azioni") * (Investimenti!C15) * (Investimenti!F15))</f>
        <v>0</v>
      </c>
      <c r="I15" s="78">
        <f t="shared" si="1"/>
        <v>0</v>
      </c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</row>
    <row r="16" ht="22.5" customHeight="1">
      <c r="A16" s="80"/>
      <c r="B16" s="81"/>
      <c r="C16" s="77"/>
      <c r="D16" s="78"/>
      <c r="E16" s="78"/>
      <c r="F16" s="70" t="str">
        <f>IFERROR(__xludf.DUMMYFUNCTION("IF(B16=""Azioni"", GOOGLEFINANCE(E16), """")"),"")</f>
        <v/>
      </c>
      <c r="G16" s="78"/>
      <c r="H16" s="78">
        <f>SUMPRODUCT((Investimenti!B16="Azioni") * (Investimenti!C16) * (Investimenti!F16))</f>
        <v>0</v>
      </c>
      <c r="I16" s="78">
        <f t="shared" si="1"/>
        <v>0</v>
      </c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</row>
    <row r="17" ht="22.5" customHeight="1">
      <c r="A17" s="80"/>
      <c r="B17" s="81"/>
      <c r="C17" s="77"/>
      <c r="D17" s="78"/>
      <c r="E17" s="78"/>
      <c r="F17" s="70" t="str">
        <f>IFERROR(__xludf.DUMMYFUNCTION("IF(B17=""Azioni"", GOOGLEFINANCE(E17), """")"),"")</f>
        <v/>
      </c>
      <c r="G17" s="78"/>
      <c r="H17" s="78">
        <f>SUMPRODUCT((Investimenti!B17="Azioni") * (Investimenti!C17) * (Investimenti!F17))</f>
        <v>0</v>
      </c>
      <c r="I17" s="78">
        <f t="shared" si="1"/>
        <v>0</v>
      </c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</row>
    <row r="18" ht="22.5" customHeight="1">
      <c r="A18" s="80"/>
      <c r="B18" s="81"/>
      <c r="C18" s="77"/>
      <c r="D18" s="78"/>
      <c r="E18" s="78"/>
      <c r="F18" s="70" t="str">
        <f>IFERROR(__xludf.DUMMYFUNCTION("IF(B18=""Azioni"", GOOGLEFINANCE(E18), """")"),"")</f>
        <v/>
      </c>
      <c r="G18" s="78"/>
      <c r="H18" s="78">
        <f>SUMPRODUCT((Investimenti!B18="Azioni") * (Investimenti!C18) * (Investimenti!F18))</f>
        <v>0</v>
      </c>
      <c r="I18" s="78">
        <f t="shared" si="1"/>
        <v>0</v>
      </c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</row>
    <row r="19" ht="22.5" customHeight="1">
      <c r="A19" s="80"/>
      <c r="B19" s="81"/>
      <c r="C19" s="77"/>
      <c r="D19" s="78"/>
      <c r="E19" s="78"/>
      <c r="F19" s="70" t="str">
        <f>IFERROR(__xludf.DUMMYFUNCTION("IF(B19=""Azioni"", GOOGLEFINANCE(E19), """")"),"")</f>
        <v/>
      </c>
      <c r="G19" s="78"/>
      <c r="H19" s="78">
        <f>SUMPRODUCT((Investimenti!B19="Azioni") * (Investimenti!C19) * (Investimenti!F19))</f>
        <v>0</v>
      </c>
      <c r="I19" s="78">
        <f t="shared" si="1"/>
        <v>0</v>
      </c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</row>
    <row r="20" ht="22.5" customHeight="1">
      <c r="A20" s="80"/>
      <c r="B20" s="81"/>
      <c r="C20" s="77"/>
      <c r="D20" s="78"/>
      <c r="E20" s="78"/>
      <c r="F20" s="70" t="str">
        <f>IFERROR(__xludf.DUMMYFUNCTION("IF(B20=""Azioni"", GOOGLEFINANCE(E20), """")"),"")</f>
        <v/>
      </c>
      <c r="G20" s="78"/>
      <c r="H20" s="78">
        <f>SUMPRODUCT((Investimenti!B20="Azioni") * (Investimenti!C20) * (Investimenti!F20))</f>
        <v>0</v>
      </c>
      <c r="I20" s="78">
        <f t="shared" si="1"/>
        <v>0</v>
      </c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</row>
    <row r="21" ht="22.5" customHeight="1">
      <c r="A21" s="80"/>
      <c r="B21" s="81"/>
      <c r="C21" s="77"/>
      <c r="D21" s="78"/>
      <c r="E21" s="78"/>
      <c r="F21" s="70" t="str">
        <f>IFERROR(__xludf.DUMMYFUNCTION("IF(B21=""Azioni"", GOOGLEFINANCE(E21), """")"),"")</f>
        <v/>
      </c>
      <c r="G21" s="78"/>
      <c r="H21" s="78">
        <f>SUMPRODUCT((Investimenti!B21="Azioni") * (Investimenti!C21) * (Investimenti!F21))</f>
        <v>0</v>
      </c>
      <c r="I21" s="78">
        <f t="shared" si="1"/>
        <v>0</v>
      </c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</row>
    <row r="22" ht="22.5" customHeight="1">
      <c r="A22" s="80"/>
      <c r="B22" s="81"/>
      <c r="C22" s="77"/>
      <c r="D22" s="78"/>
      <c r="E22" s="78"/>
      <c r="F22" s="70" t="str">
        <f>IFERROR(__xludf.DUMMYFUNCTION("IF(B22=""Azioni"", GOOGLEFINANCE(E22), """")"),"")</f>
        <v/>
      </c>
      <c r="G22" s="78"/>
      <c r="H22" s="78">
        <f>SUMPRODUCT((Investimenti!B22="Azioni") * (Investimenti!C22) * (Investimenti!F22))</f>
        <v>0</v>
      </c>
      <c r="I22" s="78">
        <f t="shared" si="1"/>
        <v>0</v>
      </c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</row>
    <row r="23" ht="22.5" customHeight="1">
      <c r="A23" s="80"/>
      <c r="B23" s="81"/>
      <c r="C23" s="77"/>
      <c r="D23" s="78"/>
      <c r="E23" s="78"/>
      <c r="F23" s="70" t="str">
        <f>IFERROR(__xludf.DUMMYFUNCTION("IF(B23=""Azioni"", GOOGLEFINANCE(E23), """")"),"")</f>
        <v/>
      </c>
      <c r="G23" s="78"/>
      <c r="H23" s="78">
        <f>SUMPRODUCT((Investimenti!B23="Azioni") * (Investimenti!C23) * (Investimenti!F23))</f>
        <v>0</v>
      </c>
      <c r="I23" s="78">
        <f t="shared" si="1"/>
        <v>0</v>
      </c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</row>
    <row r="24" ht="22.5" customHeight="1">
      <c r="A24" s="80"/>
      <c r="B24" s="81"/>
      <c r="C24" s="77"/>
      <c r="D24" s="78"/>
      <c r="E24" s="78"/>
      <c r="F24" s="70" t="str">
        <f>IFERROR(__xludf.DUMMYFUNCTION("IF(B24=""Azioni"", GOOGLEFINANCE(E24), """")"),"")</f>
        <v/>
      </c>
      <c r="G24" s="78"/>
      <c r="H24" s="78">
        <f>SUMPRODUCT((Investimenti!B24="Azioni") * (Investimenti!C24) * (Investimenti!F24))</f>
        <v>0</v>
      </c>
      <c r="I24" s="78">
        <f t="shared" si="1"/>
        <v>0</v>
      </c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</row>
    <row r="25" ht="22.5" customHeight="1">
      <c r="A25" s="80"/>
      <c r="B25" s="81"/>
      <c r="C25" s="77"/>
      <c r="D25" s="78"/>
      <c r="E25" s="78"/>
      <c r="F25" s="70" t="str">
        <f>IFERROR(__xludf.DUMMYFUNCTION("IF(B25=""Azioni"", GOOGLEFINANCE(E25), """")"),"")</f>
        <v/>
      </c>
      <c r="G25" s="78"/>
      <c r="H25" s="78">
        <f>SUMPRODUCT((Investimenti!B25="Azioni") * (Investimenti!C25) * (Investimenti!F25))</f>
        <v>0</v>
      </c>
      <c r="I25" s="78">
        <f t="shared" si="1"/>
        <v>0</v>
      </c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</row>
    <row r="26" ht="22.5" customHeight="1">
      <c r="A26" s="82" t="s">
        <v>86</v>
      </c>
      <c r="B26" s="82" t="s">
        <v>87</v>
      </c>
      <c r="C26" s="83"/>
      <c r="D26" s="83"/>
      <c r="E26" s="83"/>
      <c r="F26" s="83"/>
      <c r="G26" s="84">
        <f>SUM(INVESTIMENTI[Valore Iniziale])</f>
        <v>10512</v>
      </c>
      <c r="H26" s="84">
        <f>SUM(INVESTIMENTI[Valore Attuale])</f>
        <v>5229.48</v>
      </c>
      <c r="I26" s="84">
        <f>SUM(INVESTIMENTI[Profitto/Perdita])</f>
        <v>-5282.52</v>
      </c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</row>
    <row r="27">
      <c r="A27" s="85"/>
      <c r="B27" s="85"/>
      <c r="C27" s="85"/>
      <c r="D27" s="85"/>
      <c r="E27" s="85"/>
      <c r="F27" s="85"/>
      <c r="G27" s="86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</row>
    <row r="28">
      <c r="A28" s="85"/>
      <c r="B28" s="85"/>
      <c r="C28" s="85"/>
      <c r="D28" s="85"/>
      <c r="E28" s="85"/>
      <c r="F28" s="85"/>
      <c r="G28" s="86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</row>
    <row r="29">
      <c r="A29" s="87" t="s">
        <v>88</v>
      </c>
      <c r="B29" s="85"/>
      <c r="C29" s="85"/>
      <c r="D29" s="85"/>
      <c r="E29" s="85"/>
      <c r="F29" s="85"/>
      <c r="G29" s="86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</row>
    <row r="30">
      <c r="A30" s="88"/>
      <c r="B30" s="85"/>
      <c r="C30" s="85"/>
      <c r="D30" s="85"/>
      <c r="E30" s="85"/>
      <c r="F30" s="85"/>
      <c r="G30" s="85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</row>
    <row r="31">
      <c r="A31" s="89"/>
      <c r="B31" s="85"/>
      <c r="C31" s="85"/>
      <c r="D31" s="85"/>
      <c r="E31" s="85"/>
      <c r="F31" s="85"/>
      <c r="G31" s="85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</row>
    <row r="32">
      <c r="A32" s="90"/>
      <c r="B32" s="85"/>
      <c r="C32" s="85"/>
      <c r="D32" s="85"/>
      <c r="E32" s="85"/>
      <c r="F32" s="85"/>
      <c r="G32" s="85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</row>
    <row r="33">
      <c r="A33" s="85"/>
      <c r="B33" s="85"/>
      <c r="C33" s="85"/>
      <c r="D33" s="85"/>
      <c r="E33" s="85"/>
      <c r="F33" s="85"/>
      <c r="G33" s="85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</row>
    <row r="34">
      <c r="A34" s="85"/>
      <c r="B34" s="85"/>
      <c r="C34" s="85"/>
      <c r="D34" s="85"/>
      <c r="E34" s="85"/>
      <c r="F34" s="85"/>
      <c r="G34" s="85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</row>
    <row r="35">
      <c r="A35" s="85"/>
      <c r="B35" s="85"/>
      <c r="C35" s="85"/>
      <c r="D35" s="85"/>
      <c r="E35" s="85"/>
      <c r="F35" s="85"/>
      <c r="G35" s="85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</row>
    <row r="36">
      <c r="A36" s="85"/>
      <c r="B36" s="85"/>
      <c r="C36" s="85"/>
      <c r="D36" s="85"/>
      <c r="E36" s="85"/>
      <c r="F36" s="85"/>
      <c r="G36" s="85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</row>
    <row r="37">
      <c r="A37" s="85"/>
      <c r="B37" s="85"/>
      <c r="C37" s="85"/>
      <c r="D37" s="85"/>
      <c r="E37" s="85"/>
      <c r="F37" s="85"/>
      <c r="G37" s="85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</row>
    <row r="38">
      <c r="A38" s="85"/>
      <c r="B38" s="85"/>
      <c r="C38" s="85"/>
      <c r="D38" s="85"/>
      <c r="E38" s="85"/>
      <c r="F38" s="85"/>
      <c r="G38" s="85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</row>
    <row r="39">
      <c r="A39" s="85"/>
      <c r="B39" s="85"/>
      <c r="C39" s="85"/>
      <c r="D39" s="85"/>
      <c r="E39" s="85"/>
      <c r="F39" s="85"/>
      <c r="G39" s="85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</row>
    <row r="40">
      <c r="A40" s="85"/>
      <c r="B40" s="85"/>
      <c r="C40" s="85"/>
      <c r="D40" s="85"/>
      <c r="E40" s="85"/>
      <c r="F40" s="85"/>
      <c r="G40" s="85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</row>
    <row r="41">
      <c r="A41" s="85"/>
      <c r="B41" s="85"/>
      <c r="C41" s="85"/>
      <c r="D41" s="85"/>
      <c r="E41" s="85"/>
      <c r="F41" s="85"/>
      <c r="G41" s="85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</row>
    <row r="42">
      <c r="A42" s="85"/>
      <c r="B42" s="85"/>
      <c r="C42" s="85"/>
      <c r="D42" s="85"/>
      <c r="E42" s="85"/>
      <c r="F42" s="85"/>
      <c r="G42" s="85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</row>
    <row r="43">
      <c r="A43" s="85"/>
      <c r="B43" s="85"/>
      <c r="C43" s="85"/>
      <c r="D43" s="85"/>
      <c r="E43" s="85"/>
      <c r="F43" s="85"/>
      <c r="G43" s="85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</row>
    <row r="44">
      <c r="A44" s="85"/>
      <c r="B44" s="85"/>
      <c r="C44" s="85"/>
      <c r="D44" s="85"/>
      <c r="E44" s="85"/>
      <c r="F44" s="85"/>
      <c r="G44" s="85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</row>
    <row r="45">
      <c r="A45" s="85"/>
      <c r="B45" s="85"/>
      <c r="C45" s="85"/>
      <c r="D45" s="85"/>
      <c r="E45" s="85"/>
      <c r="F45" s="85"/>
      <c r="G45" s="85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</row>
    <row r="46">
      <c r="A46" s="85"/>
      <c r="B46" s="85"/>
      <c r="C46" s="85"/>
      <c r="D46" s="85"/>
      <c r="E46" s="85"/>
      <c r="F46" s="85"/>
      <c r="G46" s="85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</row>
    <row r="47">
      <c r="A47" s="85"/>
      <c r="B47" s="85"/>
      <c r="C47" s="85"/>
      <c r="D47" s="85"/>
      <c r="E47" s="85"/>
      <c r="F47" s="85"/>
      <c r="G47" s="85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</row>
  </sheetData>
  <conditionalFormatting sqref="I2:I25">
    <cfRule type="cellIs" dxfId="19" priority="1" operator="greaterThan">
      <formula>0</formula>
    </cfRule>
  </conditionalFormatting>
  <conditionalFormatting sqref="I2:I25">
    <cfRule type="cellIs" dxfId="20" priority="2" operator="lessThan">
      <formula>0</formula>
    </cfRule>
  </conditionalFormatting>
  <conditionalFormatting sqref="I26">
    <cfRule type="cellIs" dxfId="19" priority="3" operator="greaterThan">
      <formula>0</formula>
    </cfRule>
  </conditionalFormatting>
  <conditionalFormatting sqref="I26">
    <cfRule type="cellIs" dxfId="20" priority="4" operator="lessThan">
      <formula>0</formula>
    </cfRule>
  </conditionalFormatting>
  <dataValidations>
    <dataValidation type="list" allowBlank="1" sqref="B2:B25">
      <formula1>"S&amp;P 500,Azioni,ETF,Fondo,Assicurazioni"</formula1>
    </dataValidation>
    <dataValidation type="custom" allowBlank="1" showDropDown="1" sqref="C2:D25 F2:I25">
      <formula1>AND(ISNUMBER(C2),(NOT(OR(NOT(ISERROR(DATEVALUE(C2))), AND(ISNUMBER(C2), LEFT(CELL("format", C2))="D")))))</formula1>
    </dataValidation>
    <dataValidation allowBlank="1" showDropDown="1" sqref="A2:A25"/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2.63"/>
    <col customWidth="1" min="7" max="7" width="21.63"/>
    <col customWidth="1" min="8" max="8" width="24.63"/>
  </cols>
  <sheetData>
    <row r="1" ht="22.5" customHeight="1">
      <c r="A1" s="73" t="s">
        <v>52</v>
      </c>
      <c r="B1" s="73" t="s">
        <v>89</v>
      </c>
      <c r="C1" s="73" t="s">
        <v>90</v>
      </c>
      <c r="D1" s="73" t="s">
        <v>91</v>
      </c>
      <c r="E1" s="73" t="s">
        <v>92</v>
      </c>
      <c r="F1" s="73" t="s">
        <v>93</v>
      </c>
      <c r="G1" s="73" t="s">
        <v>94</v>
      </c>
      <c r="H1" s="73" t="s">
        <v>95</v>
      </c>
    </row>
    <row r="2" ht="22.5" customHeight="1">
      <c r="A2" s="75" t="s">
        <v>96</v>
      </c>
      <c r="B2" s="91" t="s">
        <v>97</v>
      </c>
      <c r="C2" s="70">
        <v>150000.0</v>
      </c>
      <c r="D2" s="70">
        <f t="shared" ref="D2:D15" si="1">IF(ISBLANK(H2), "", F2 / DATEDIF(G2, H2, "M"))</f>
        <v>439.8340249</v>
      </c>
      <c r="E2" s="92">
        <v>44000.0</v>
      </c>
      <c r="F2" s="78">
        <f t="shared" ref="F2:F15" si="2">(C2-E2)</f>
        <v>106000</v>
      </c>
      <c r="G2" s="93">
        <v>46027.0</v>
      </c>
      <c r="H2" s="93">
        <v>53368.0</v>
      </c>
    </row>
    <row r="3" ht="22.5" customHeight="1">
      <c r="A3" s="80"/>
      <c r="B3" s="94"/>
      <c r="C3" s="78"/>
      <c r="D3" s="78" t="str">
        <f t="shared" si="1"/>
        <v/>
      </c>
      <c r="E3" s="95"/>
      <c r="F3" s="78">
        <f t="shared" si="2"/>
        <v>0</v>
      </c>
      <c r="G3" s="96"/>
      <c r="H3" s="96"/>
    </row>
    <row r="4" ht="22.5" customHeight="1">
      <c r="A4" s="80"/>
      <c r="B4" s="94"/>
      <c r="C4" s="78"/>
      <c r="D4" s="78" t="str">
        <f t="shared" si="1"/>
        <v/>
      </c>
      <c r="E4" s="95"/>
      <c r="F4" s="78">
        <f t="shared" si="2"/>
        <v>0</v>
      </c>
      <c r="G4" s="96"/>
      <c r="H4" s="96"/>
    </row>
    <row r="5" ht="22.5" customHeight="1">
      <c r="A5" s="80"/>
      <c r="B5" s="94"/>
      <c r="C5" s="78"/>
      <c r="D5" s="78" t="str">
        <f t="shared" si="1"/>
        <v/>
      </c>
      <c r="E5" s="95"/>
      <c r="F5" s="78">
        <f t="shared" si="2"/>
        <v>0</v>
      </c>
      <c r="G5" s="96"/>
      <c r="H5" s="96"/>
    </row>
    <row r="6" ht="22.5" customHeight="1">
      <c r="A6" s="80"/>
      <c r="B6" s="94"/>
      <c r="C6" s="78"/>
      <c r="D6" s="78" t="str">
        <f t="shared" si="1"/>
        <v/>
      </c>
      <c r="E6" s="95"/>
      <c r="F6" s="78">
        <f t="shared" si="2"/>
        <v>0</v>
      </c>
      <c r="G6" s="96"/>
      <c r="H6" s="96"/>
    </row>
    <row r="7" ht="22.5" customHeight="1">
      <c r="A7" s="80"/>
      <c r="B7" s="94"/>
      <c r="C7" s="78"/>
      <c r="D7" s="78" t="str">
        <f t="shared" si="1"/>
        <v/>
      </c>
      <c r="E7" s="95"/>
      <c r="F7" s="78">
        <f t="shared" si="2"/>
        <v>0</v>
      </c>
      <c r="G7" s="96"/>
      <c r="H7" s="96"/>
    </row>
    <row r="8" ht="22.5" customHeight="1">
      <c r="A8" s="80"/>
      <c r="B8" s="94"/>
      <c r="C8" s="78"/>
      <c r="D8" s="78" t="str">
        <f t="shared" si="1"/>
        <v/>
      </c>
      <c r="E8" s="95"/>
      <c r="F8" s="78">
        <f t="shared" si="2"/>
        <v>0</v>
      </c>
      <c r="G8" s="96"/>
      <c r="H8" s="96"/>
    </row>
    <row r="9" ht="22.5" customHeight="1">
      <c r="A9" s="80"/>
      <c r="B9" s="94"/>
      <c r="C9" s="78"/>
      <c r="D9" s="78" t="str">
        <f t="shared" si="1"/>
        <v/>
      </c>
      <c r="E9" s="95"/>
      <c r="F9" s="78">
        <f t="shared" si="2"/>
        <v>0</v>
      </c>
      <c r="G9" s="96"/>
      <c r="H9" s="96"/>
    </row>
    <row r="10" ht="22.5" customHeight="1">
      <c r="A10" s="80"/>
      <c r="B10" s="94"/>
      <c r="C10" s="78"/>
      <c r="D10" s="78" t="str">
        <f t="shared" si="1"/>
        <v/>
      </c>
      <c r="E10" s="95"/>
      <c r="F10" s="78">
        <f t="shared" si="2"/>
        <v>0</v>
      </c>
      <c r="G10" s="96"/>
      <c r="H10" s="96"/>
    </row>
    <row r="11" ht="22.5" customHeight="1">
      <c r="A11" s="80"/>
      <c r="B11" s="94"/>
      <c r="C11" s="78"/>
      <c r="D11" s="78" t="str">
        <f t="shared" si="1"/>
        <v/>
      </c>
      <c r="E11" s="95"/>
      <c r="F11" s="78">
        <f t="shared" si="2"/>
        <v>0</v>
      </c>
      <c r="G11" s="96"/>
      <c r="H11" s="96"/>
    </row>
    <row r="12" ht="22.5" customHeight="1">
      <c r="A12" s="80"/>
      <c r="B12" s="94"/>
      <c r="C12" s="78"/>
      <c r="D12" s="78" t="str">
        <f t="shared" si="1"/>
        <v/>
      </c>
      <c r="E12" s="95"/>
      <c r="F12" s="78">
        <f t="shared" si="2"/>
        <v>0</v>
      </c>
      <c r="G12" s="96"/>
      <c r="H12" s="96"/>
    </row>
    <row r="13" ht="22.5" customHeight="1">
      <c r="A13" s="80"/>
      <c r="B13" s="94"/>
      <c r="C13" s="78"/>
      <c r="D13" s="78" t="str">
        <f t="shared" si="1"/>
        <v/>
      </c>
      <c r="E13" s="95"/>
      <c r="F13" s="78">
        <f t="shared" si="2"/>
        <v>0</v>
      </c>
      <c r="G13" s="96"/>
      <c r="H13" s="96"/>
    </row>
    <row r="14" ht="22.5" customHeight="1">
      <c r="A14" s="80"/>
      <c r="B14" s="94"/>
      <c r="C14" s="78"/>
      <c r="D14" s="78" t="str">
        <f t="shared" si="1"/>
        <v/>
      </c>
      <c r="E14" s="95"/>
      <c r="F14" s="78">
        <f t="shared" si="2"/>
        <v>0</v>
      </c>
      <c r="G14" s="96"/>
      <c r="H14" s="96"/>
    </row>
    <row r="15" ht="22.5" customHeight="1">
      <c r="A15" s="80"/>
      <c r="B15" s="94"/>
      <c r="C15" s="78"/>
      <c r="D15" s="78" t="str">
        <f t="shared" si="1"/>
        <v/>
      </c>
      <c r="E15" s="95"/>
      <c r="F15" s="78">
        <f t="shared" si="2"/>
        <v>0</v>
      </c>
      <c r="G15" s="96"/>
      <c r="H15" s="96"/>
    </row>
    <row r="16" ht="22.5" customHeight="1">
      <c r="A16" s="97" t="s">
        <v>86</v>
      </c>
      <c r="B16" s="98"/>
      <c r="C16" s="95">
        <f>SUM(Debiti[Valore Debito])</f>
        <v>150000</v>
      </c>
      <c r="D16" s="95">
        <f>SUM(Debiti[Rata Mensile])</f>
        <v>439.8340249</v>
      </c>
      <c r="E16" s="95">
        <f>SUM(Debiti[Totale Pagato])</f>
        <v>44000</v>
      </c>
      <c r="F16" s="95">
        <f>SUM(Debiti[Totale Mancante])</f>
        <v>106000</v>
      </c>
      <c r="G16" s="99"/>
      <c r="H16" s="99"/>
    </row>
    <row r="17">
      <c r="A17" s="100"/>
      <c r="B17" s="101"/>
      <c r="C17" s="102"/>
      <c r="D17" s="102"/>
      <c r="E17" s="103"/>
      <c r="F17" s="103"/>
    </row>
    <row r="18">
      <c r="A18" s="104"/>
      <c r="B18" s="101"/>
      <c r="C18" s="102"/>
      <c r="D18" s="102"/>
      <c r="E18" s="103"/>
      <c r="F18" s="103"/>
    </row>
    <row r="19">
      <c r="A19" s="104"/>
      <c r="B19" s="101"/>
      <c r="C19" s="102"/>
      <c r="D19" s="102"/>
      <c r="E19" s="103"/>
      <c r="F19" s="103"/>
    </row>
    <row r="20">
      <c r="A20" s="104"/>
      <c r="B20" s="101"/>
      <c r="C20" s="102"/>
      <c r="D20" s="102"/>
      <c r="E20" s="103"/>
      <c r="F20" s="103"/>
    </row>
    <row r="21">
      <c r="A21" s="104"/>
      <c r="B21" s="101"/>
      <c r="C21" s="102"/>
      <c r="D21" s="102"/>
      <c r="E21" s="103"/>
      <c r="F21" s="103"/>
    </row>
    <row r="22">
      <c r="A22" s="104"/>
      <c r="B22" s="101"/>
      <c r="C22" s="102"/>
      <c r="D22" s="102"/>
      <c r="E22" s="103"/>
      <c r="F22" s="103"/>
    </row>
    <row r="23">
      <c r="A23" s="104"/>
      <c r="B23" s="101"/>
      <c r="C23" s="102"/>
      <c r="D23" s="102"/>
      <c r="E23" s="103"/>
      <c r="F23" s="103"/>
    </row>
    <row r="24">
      <c r="A24" s="104"/>
      <c r="B24" s="101"/>
      <c r="C24" s="102"/>
      <c r="D24" s="102"/>
      <c r="E24" s="103"/>
      <c r="F24" s="103"/>
    </row>
    <row r="25">
      <c r="A25" s="104"/>
      <c r="B25" s="101"/>
      <c r="C25" s="102"/>
      <c r="D25" s="102"/>
      <c r="E25" s="103"/>
      <c r="F25" s="103"/>
    </row>
  </sheetData>
  <dataValidations>
    <dataValidation type="custom" allowBlank="1" showDropDown="1" sqref="G2:H15">
      <formula1>OR(NOT(ISERROR(DATEVALUE(G2))), AND(ISNUMBER(G2), LEFT(CELL("format", G2))="D"))</formula1>
    </dataValidation>
    <dataValidation type="custom" allowBlank="1" showDropDown="1" sqref="C2:F15">
      <formula1>AND(ISNUMBER(C2),(NOT(OR(NOT(ISERROR(DATEVALUE(C2))), AND(ISNUMBER(C2), LEFT(CELL("format", C2))="D")))))</formula1>
    </dataValidation>
    <dataValidation type="list" allowBlank="1" sqref="B2:B15">
      <formula1>"Mutuo,Rata Auto,Finanziamenti"</formula1>
    </dataValidation>
    <dataValidation allowBlank="1" showDropDown="1" sqref="A2:A15"/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3.5"/>
    <col customWidth="1" min="3" max="3" width="23.75"/>
    <col customWidth="1" min="4" max="4" width="23.5"/>
    <col customWidth="1" min="5" max="5" width="23.13"/>
    <col customWidth="1" min="6" max="6" width="23.63"/>
  </cols>
  <sheetData>
    <row r="1" ht="21.75" customHeight="1">
      <c r="A1" s="105" t="s">
        <v>98</v>
      </c>
      <c r="B1" s="105" t="s">
        <v>99</v>
      </c>
      <c r="C1" s="105" t="s">
        <v>100</v>
      </c>
      <c r="D1" s="105" t="s">
        <v>101</v>
      </c>
      <c r="E1" s="105" t="s">
        <v>102</v>
      </c>
      <c r="F1" s="105" t="s">
        <v>103</v>
      </c>
    </row>
    <row r="2" ht="66.75" customHeight="1">
      <c r="A2" s="106" t="s">
        <v>104</v>
      </c>
      <c r="B2" s="107">
        <v>2000.0</v>
      </c>
      <c r="C2" s="108">
        <f>(Riepilogo_Sinking_Funds[Totale Saldo Attuale])</f>
        <v>1112</v>
      </c>
      <c r="D2" s="108">
        <f>SUM(INVESTIMENTI[Valore Attuale])</f>
        <v>5229.48</v>
      </c>
      <c r="E2" s="108">
        <f>SUM(Debiti[Totale Mancante])</f>
        <v>106000</v>
      </c>
      <c r="F2" s="108">
        <f>B2+C2+D2-E2</f>
        <v>-97658.52</v>
      </c>
    </row>
    <row r="3">
      <c r="A3" s="109"/>
      <c r="B3" s="86"/>
      <c r="C3" s="86"/>
      <c r="D3" s="86"/>
      <c r="E3" s="86"/>
      <c r="F3" s="86"/>
    </row>
    <row r="4">
      <c r="A4" s="109"/>
      <c r="B4" s="86"/>
      <c r="C4" s="86"/>
      <c r="D4" s="86"/>
      <c r="E4" s="86"/>
      <c r="F4" s="86"/>
    </row>
    <row r="5">
      <c r="A5" s="109"/>
      <c r="B5" s="86"/>
      <c r="C5" s="86"/>
      <c r="D5" s="86"/>
      <c r="E5" s="86"/>
      <c r="F5" s="86"/>
    </row>
    <row r="6">
      <c r="A6" s="109"/>
      <c r="B6" s="86"/>
      <c r="C6" s="86"/>
      <c r="D6" s="86"/>
      <c r="E6" s="86"/>
      <c r="F6" s="86"/>
    </row>
    <row r="7">
      <c r="A7" s="109"/>
      <c r="B7" s="86"/>
      <c r="C7" s="86"/>
      <c r="D7" s="86"/>
      <c r="E7" s="86"/>
      <c r="F7" s="86"/>
    </row>
    <row r="8" ht="22.5" customHeight="1">
      <c r="A8" s="105" t="s">
        <v>98</v>
      </c>
      <c r="B8" s="105" t="s">
        <v>99</v>
      </c>
      <c r="C8" s="105" t="s">
        <v>100</v>
      </c>
      <c r="D8" s="105" t="s">
        <v>101</v>
      </c>
      <c r="E8" s="105" t="s">
        <v>102</v>
      </c>
      <c r="F8" s="105" t="s">
        <v>103</v>
      </c>
    </row>
    <row r="9" ht="69.75" customHeight="1">
      <c r="A9" s="106" t="s">
        <v>105</v>
      </c>
      <c r="B9" s="107">
        <v>1400.0</v>
      </c>
      <c r="C9" s="107">
        <v>700.0</v>
      </c>
      <c r="D9" s="107">
        <v>4500.0</v>
      </c>
      <c r="E9" s="107">
        <v>112000.0</v>
      </c>
      <c r="F9" s="108">
        <f>B9+C9+D9-E9</f>
        <v>-105400</v>
      </c>
    </row>
    <row r="10">
      <c r="A10" s="109"/>
      <c r="B10" s="86"/>
      <c r="C10" s="86"/>
      <c r="D10" s="86"/>
      <c r="E10" s="86"/>
      <c r="F10" s="86"/>
    </row>
    <row r="11">
      <c r="A11" s="109"/>
      <c r="B11" s="86"/>
      <c r="C11" s="86"/>
      <c r="D11" s="86"/>
      <c r="E11" s="86"/>
      <c r="F11" s="86"/>
    </row>
    <row r="12">
      <c r="A12" s="109"/>
      <c r="B12" s="86"/>
      <c r="C12" s="86"/>
      <c r="D12" s="86"/>
      <c r="E12" s="86"/>
      <c r="F12" s="86"/>
    </row>
    <row r="13">
      <c r="A13" s="109"/>
      <c r="B13" s="86"/>
      <c r="C13" s="86"/>
      <c r="D13" s="86"/>
      <c r="E13" s="86"/>
      <c r="F13" s="86"/>
    </row>
    <row r="14">
      <c r="A14" s="109"/>
      <c r="B14" s="86"/>
      <c r="C14" s="86"/>
      <c r="D14" s="86"/>
      <c r="E14" s="86"/>
      <c r="F14" s="86"/>
    </row>
    <row r="15">
      <c r="A15" s="109"/>
      <c r="B15" s="86"/>
      <c r="C15" s="86"/>
      <c r="D15" s="86"/>
      <c r="E15" s="86"/>
      <c r="F15" s="86"/>
    </row>
    <row r="16">
      <c r="A16" s="109"/>
      <c r="B16" s="86"/>
      <c r="C16" s="86"/>
      <c r="D16" s="86"/>
      <c r="E16" s="86"/>
      <c r="F16" s="86"/>
    </row>
    <row r="17">
      <c r="A17" s="109"/>
      <c r="B17" s="86"/>
      <c r="C17" s="86"/>
      <c r="D17" s="86"/>
      <c r="E17" s="86"/>
      <c r="F17" s="86"/>
    </row>
    <row r="18">
      <c r="A18" s="109"/>
      <c r="B18" s="86"/>
      <c r="C18" s="86"/>
      <c r="D18" s="86"/>
      <c r="E18" s="86"/>
      <c r="F18" s="86"/>
    </row>
    <row r="19">
      <c r="A19" s="109"/>
      <c r="B19" s="86"/>
      <c r="C19" s="86"/>
      <c r="D19" s="86"/>
      <c r="E19" s="86"/>
      <c r="F19" s="86"/>
    </row>
    <row r="20">
      <c r="A20" s="109"/>
      <c r="B20" s="86"/>
      <c r="C20" s="86"/>
      <c r="D20" s="86"/>
      <c r="E20" s="86"/>
      <c r="F20" s="86"/>
    </row>
    <row r="21">
      <c r="A21" s="109"/>
      <c r="B21" s="86"/>
      <c r="C21" s="86"/>
      <c r="D21" s="86"/>
      <c r="E21" s="86"/>
      <c r="F21" s="86"/>
    </row>
    <row r="22">
      <c r="A22" s="109"/>
      <c r="B22" s="86"/>
      <c r="C22" s="86"/>
      <c r="D22" s="86"/>
      <c r="E22" s="86"/>
      <c r="F22" s="86"/>
    </row>
    <row r="23">
      <c r="A23" s="109"/>
      <c r="B23" s="86"/>
      <c r="C23" s="86"/>
      <c r="D23" s="86"/>
      <c r="E23" s="86"/>
      <c r="F23" s="86"/>
    </row>
    <row r="24">
      <c r="A24" s="109"/>
      <c r="B24" s="86"/>
      <c r="C24" s="86"/>
      <c r="D24" s="86"/>
      <c r="E24" s="86"/>
      <c r="F24" s="86"/>
    </row>
    <row r="25">
      <c r="A25" s="109"/>
      <c r="B25" s="86"/>
      <c r="C25" s="86"/>
      <c r="D25" s="86"/>
      <c r="E25" s="86"/>
      <c r="F25" s="86"/>
    </row>
    <row r="26">
      <c r="A26" s="109"/>
      <c r="B26" s="86"/>
      <c r="C26" s="86"/>
      <c r="D26" s="86"/>
      <c r="E26" s="86"/>
      <c r="F26" s="86"/>
    </row>
    <row r="27">
      <c r="A27" s="109"/>
      <c r="B27" s="86"/>
      <c r="C27" s="86"/>
      <c r="D27" s="86"/>
      <c r="E27" s="86"/>
      <c r="F27" s="86"/>
    </row>
    <row r="28">
      <c r="A28" s="109"/>
      <c r="B28" s="86"/>
      <c r="C28" s="86"/>
      <c r="D28" s="86"/>
      <c r="E28" s="86"/>
      <c r="F28" s="86"/>
    </row>
    <row r="29">
      <c r="A29" s="109"/>
      <c r="B29" s="86"/>
      <c r="C29" s="86"/>
      <c r="D29" s="86"/>
      <c r="E29" s="86"/>
      <c r="F29" s="86"/>
    </row>
    <row r="30">
      <c r="A30" s="109"/>
      <c r="B30" s="86"/>
      <c r="C30" s="86"/>
      <c r="D30" s="86"/>
      <c r="E30" s="86"/>
      <c r="F30" s="86"/>
    </row>
    <row r="31">
      <c r="A31" s="109"/>
      <c r="B31" s="86"/>
      <c r="C31" s="86"/>
      <c r="D31" s="86"/>
      <c r="E31" s="86"/>
      <c r="F31" s="86"/>
    </row>
    <row r="32">
      <c r="A32" s="109"/>
      <c r="B32" s="86"/>
      <c r="C32" s="86"/>
      <c r="D32" s="86"/>
      <c r="E32" s="86"/>
      <c r="F32" s="86"/>
    </row>
    <row r="33">
      <c r="A33" s="109"/>
      <c r="B33" s="86"/>
      <c r="C33" s="86"/>
      <c r="D33" s="86"/>
      <c r="E33" s="86"/>
      <c r="F33" s="86"/>
    </row>
    <row r="34">
      <c r="A34" s="109"/>
      <c r="B34" s="86"/>
      <c r="C34" s="86"/>
      <c r="D34" s="86"/>
      <c r="E34" s="86"/>
      <c r="F34" s="86"/>
    </row>
    <row r="35">
      <c r="A35" s="109"/>
      <c r="B35" s="86"/>
      <c r="C35" s="86"/>
      <c r="D35" s="86"/>
      <c r="E35" s="86"/>
      <c r="F35" s="86"/>
    </row>
    <row r="36">
      <c r="A36" s="109"/>
      <c r="B36" s="86"/>
      <c r="C36" s="86"/>
      <c r="D36" s="86"/>
      <c r="E36" s="86"/>
      <c r="F36" s="86"/>
    </row>
    <row r="37">
      <c r="A37" s="109"/>
      <c r="B37" s="86"/>
      <c r="C37" s="86"/>
      <c r="D37" s="86"/>
      <c r="E37" s="86"/>
      <c r="F37" s="86"/>
    </row>
    <row r="38">
      <c r="A38" s="109"/>
      <c r="B38" s="86"/>
      <c r="C38" s="86"/>
      <c r="D38" s="86"/>
      <c r="E38" s="86"/>
      <c r="F38" s="86"/>
    </row>
    <row r="39">
      <c r="A39" s="109"/>
      <c r="B39" s="86"/>
      <c r="C39" s="86"/>
      <c r="D39" s="86"/>
      <c r="E39" s="86"/>
      <c r="F39" s="86"/>
    </row>
    <row r="40">
      <c r="A40" s="109"/>
      <c r="B40" s="86"/>
      <c r="C40" s="86"/>
      <c r="D40" s="86"/>
      <c r="E40" s="86"/>
      <c r="F40" s="86"/>
    </row>
    <row r="41">
      <c r="A41" s="109"/>
      <c r="B41" s="86"/>
      <c r="C41" s="86"/>
      <c r="D41" s="86"/>
      <c r="E41" s="86"/>
      <c r="F41" s="86"/>
    </row>
    <row r="42">
      <c r="A42" s="109"/>
      <c r="B42" s="86"/>
      <c r="C42" s="86"/>
      <c r="D42" s="86"/>
      <c r="E42" s="86"/>
      <c r="F42" s="86"/>
    </row>
    <row r="43">
      <c r="A43" s="109"/>
      <c r="B43" s="86"/>
      <c r="C43" s="86"/>
      <c r="D43" s="86"/>
      <c r="E43" s="86"/>
      <c r="F43" s="86"/>
    </row>
    <row r="44">
      <c r="A44" s="109"/>
      <c r="B44" s="86"/>
      <c r="C44" s="86"/>
      <c r="D44" s="86"/>
      <c r="E44" s="86"/>
      <c r="F44" s="86"/>
    </row>
    <row r="45">
      <c r="A45" s="109"/>
      <c r="B45" s="86"/>
      <c r="C45" s="86"/>
      <c r="D45" s="86"/>
      <c r="E45" s="86"/>
      <c r="F45" s="86"/>
    </row>
    <row r="46">
      <c r="A46" s="109"/>
      <c r="B46" s="86"/>
      <c r="C46" s="86"/>
      <c r="D46" s="86"/>
      <c r="E46" s="86"/>
      <c r="F46" s="86"/>
    </row>
    <row r="47">
      <c r="A47" s="109"/>
      <c r="B47" s="86"/>
      <c r="C47" s="86"/>
      <c r="D47" s="86"/>
      <c r="E47" s="86"/>
      <c r="F47" s="86"/>
    </row>
    <row r="48">
      <c r="A48" s="109"/>
      <c r="B48" s="86"/>
      <c r="C48" s="86"/>
      <c r="D48" s="86"/>
      <c r="E48" s="86"/>
      <c r="F48" s="86"/>
    </row>
    <row r="49">
      <c r="A49" s="109"/>
      <c r="B49" s="86"/>
      <c r="C49" s="86"/>
      <c r="D49" s="86"/>
      <c r="E49" s="86"/>
      <c r="F49" s="86"/>
    </row>
    <row r="50">
      <c r="A50" s="109"/>
      <c r="B50" s="86"/>
      <c r="C50" s="86"/>
      <c r="D50" s="86"/>
      <c r="E50" s="86"/>
      <c r="F50" s="86"/>
    </row>
    <row r="51">
      <c r="A51" s="109"/>
      <c r="B51" s="86"/>
      <c r="C51" s="86"/>
      <c r="D51" s="86"/>
      <c r="E51" s="86"/>
      <c r="F51" s="86"/>
    </row>
    <row r="52">
      <c r="A52" s="109"/>
      <c r="B52" s="86"/>
      <c r="C52" s="86"/>
      <c r="D52" s="86"/>
      <c r="E52" s="86"/>
      <c r="F52" s="86"/>
    </row>
    <row r="53">
      <c r="A53" s="109"/>
      <c r="B53" s="86"/>
      <c r="C53" s="86"/>
      <c r="D53" s="86"/>
      <c r="E53" s="86"/>
      <c r="F53" s="86"/>
    </row>
  </sheetData>
  <conditionalFormatting sqref="F2:F13">
    <cfRule type="cellIs" dxfId="21" priority="1" operator="lessThan">
      <formula>0</formula>
    </cfRule>
  </conditionalFormatting>
  <conditionalFormatting sqref="F2:F13">
    <cfRule type="cellIs" dxfId="22" priority="2" operator="greaterThan">
      <formula>0</formula>
    </cfRule>
  </conditionalFormatting>
  <dataValidations>
    <dataValidation type="custom" allowBlank="1" showDropDown="1" sqref="B2:F2 B9:F9">
      <formula1>AND(ISNUMBER(B2),(NOT(OR(NOT(ISERROR(DATEVALUE(B2))), AND(ISNUMBER(B2), LEFT(CELL("format", B2))="D")))))</formula1>
    </dataValidation>
    <dataValidation allowBlank="1" showDropDown="1" sqref="A2 A9"/>
  </dataValidations>
  <drawing r:id="rId1"/>
  <tableParts count="2">
    <tablePart r:id="rId4"/>
    <tablePart r:id="rId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</cols>
  <sheetData>
    <row r="1">
      <c r="A1" s="110" t="s">
        <v>43</v>
      </c>
      <c r="C1" s="57" t="s">
        <v>106</v>
      </c>
      <c r="D1" s="19"/>
      <c r="E1" s="19"/>
      <c r="F1" s="19"/>
      <c r="G1" s="19"/>
      <c r="H1" s="19"/>
      <c r="I1" s="57" t="s">
        <v>107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>
      <c r="A2" s="57" t="s">
        <v>15</v>
      </c>
      <c r="C2" s="56"/>
      <c r="D2" s="19"/>
      <c r="E2" s="19"/>
      <c r="F2" s="19"/>
      <c r="G2" s="19"/>
      <c r="H2" s="19"/>
      <c r="I2" s="57" t="s">
        <v>108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>
      <c r="A3" s="57" t="s">
        <v>10</v>
      </c>
      <c r="C3" s="56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>
      <c r="A4" s="57" t="s">
        <v>23</v>
      </c>
      <c r="C4" s="56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>
      <c r="A5" s="57" t="s">
        <v>14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>
      <c r="A6" s="57" t="s">
        <v>19</v>
      </c>
      <c r="C6" s="56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>
      <c r="A7" s="57" t="s">
        <v>22</v>
      </c>
      <c r="C7" s="111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>
      <c r="A8" s="57" t="s">
        <v>16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>
      <c r="A9" s="112" t="s">
        <v>45</v>
      </c>
      <c r="C9" s="56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>
      <c r="A10" s="57" t="s">
        <v>12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>
      <c r="A11" s="57" t="s">
        <v>8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>
      <c r="A12" s="57" t="s">
        <v>13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>
      <c r="A13" s="57" t="s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>
      <c r="A14" s="57" t="s">
        <v>5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>
      <c r="A15" s="57" t="s">
        <v>18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>
      <c r="A16" s="57" t="s">
        <v>17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>
      <c r="A17" s="57" t="s">
        <v>7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>
      <c r="A18" s="112" t="s">
        <v>109</v>
      </c>
      <c r="B18" s="19"/>
      <c r="C18" s="19"/>
      <c r="D18" s="19"/>
      <c r="E18" s="19"/>
      <c r="F18" s="19"/>
      <c r="J18" s="113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>
      <c r="A19" s="57" t="s">
        <v>20</v>
      </c>
      <c r="B19" s="19"/>
      <c r="C19" s="19"/>
      <c r="D19" s="19"/>
      <c r="E19" s="19"/>
      <c r="F19" s="19"/>
      <c r="J19" s="113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>
      <c r="A20" s="57" t="s">
        <v>21</v>
      </c>
      <c r="B20" s="19"/>
      <c r="C20" s="19"/>
      <c r="D20" s="19"/>
      <c r="E20" s="19"/>
      <c r="F20" s="19"/>
      <c r="J20" s="113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>
      <c r="A21" s="19"/>
      <c r="B21" s="19"/>
      <c r="C21" s="19"/>
      <c r="D21" s="19"/>
      <c r="E21" s="19"/>
      <c r="F21" s="19"/>
      <c r="J21" s="113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</sheetData>
  <drawing r:id="rId1"/>
</worksheet>
</file>