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7" yWindow="120" windowWidth="21454" windowHeight="11109" activeTab="2"/>
  </bookViews>
  <sheets>
    <sheet name="MktData" sheetId="1" r:id="rId1"/>
    <sheet name="Option" sheetId="2" r:id="rId2"/>
    <sheet name="FXR" sheetId="3" r:id="rId3"/>
    <sheet name="GIRR" sheetId="4" r:id="rId4"/>
  </sheets>
  <definedNames>
    <definedName name="XAry">MktData!$E$3:$E$12</definedName>
    <definedName name="YAry">MktData!$F$3:$F$12</definedName>
  </definedNames>
  <calcPr calcId="124519"/>
</workbook>
</file>

<file path=xl/calcChain.xml><?xml version="1.0" encoding="utf-8"?>
<calcChain xmlns="http://schemas.openxmlformats.org/spreadsheetml/2006/main">
  <c r="B3" i="2"/>
  <c r="B4"/>
  <c r="B2"/>
  <c r="O32" i="1"/>
  <c r="O33"/>
  <c r="O34"/>
  <c r="O35"/>
  <c r="O36"/>
  <c r="O37"/>
  <c r="O38"/>
  <c r="O39"/>
  <c r="N31"/>
  <c r="X35"/>
  <c r="X13" l="1"/>
  <c r="O31" s="1"/>
  <c r="C2"/>
  <c r="Q27" l="1"/>
  <c r="Y27" s="1"/>
  <c r="Q25"/>
  <c r="Y5" s="1"/>
  <c r="P14"/>
  <c r="O27" s="1"/>
  <c r="Y25" s="1"/>
  <c r="Q14"/>
  <c r="R14"/>
  <c r="S14"/>
  <c r="O14"/>
  <c r="O25" s="1"/>
  <c r="Y3" s="1"/>
  <c r="P13"/>
  <c r="S27" s="1"/>
  <c r="Y29" s="1"/>
  <c r="Q13"/>
  <c r="R13"/>
  <c r="S13"/>
  <c r="O13"/>
  <c r="S25" s="1"/>
  <c r="Y7" s="1"/>
  <c r="P12"/>
  <c r="P27" s="1"/>
  <c r="Y26" s="1"/>
  <c r="Q12"/>
  <c r="R12"/>
  <c r="S12"/>
  <c r="O12"/>
  <c r="P25" s="1"/>
  <c r="Y4" s="1"/>
  <c r="P11"/>
  <c r="R27" s="1"/>
  <c r="Y28" s="1"/>
  <c r="Q11"/>
  <c r="R11"/>
  <c r="S11"/>
  <c r="O11"/>
  <c r="R25" s="1"/>
  <c r="Y6" s="1"/>
  <c r="D17" l="1"/>
  <c r="D16"/>
  <c r="D15"/>
  <c r="C14"/>
  <c r="D14" s="1"/>
  <c r="D10"/>
  <c r="D9"/>
  <c r="D8"/>
  <c r="E15" s="1"/>
  <c r="F15" s="1"/>
  <c r="J25"/>
  <c r="J24"/>
  <c r="J23"/>
  <c r="J22"/>
  <c r="B14"/>
  <c r="B7"/>
  <c r="D25"/>
  <c r="D24"/>
  <c r="D23"/>
  <c r="D22"/>
  <c r="J2"/>
  <c r="E16" l="1"/>
  <c r="F16" s="1"/>
  <c r="E17"/>
  <c r="C22"/>
  <c r="C28"/>
  <c r="E22" a="1"/>
  <c r="F22" a="1"/>
  <c r="J11"/>
  <c r="I28" l="1"/>
  <c r="I22"/>
  <c r="F17"/>
  <c r="F22"/>
  <c r="F25"/>
  <c r="F23"/>
  <c r="F24"/>
  <c r="O17" s="1"/>
  <c r="Q24" s="1"/>
  <c r="X5" s="1"/>
  <c r="E24"/>
  <c r="E25"/>
  <c r="E22"/>
  <c r="E23"/>
  <c r="L22" a="1"/>
  <c r="K22" a="1"/>
  <c r="R20" l="1"/>
  <c r="P20" s="1"/>
  <c r="S26" s="1"/>
  <c r="X29" s="1"/>
  <c r="R21"/>
  <c r="P21" s="1"/>
  <c r="O26" s="1"/>
  <c r="X25" s="1"/>
  <c r="R18"/>
  <c r="P18" s="1"/>
  <c r="R26" s="1"/>
  <c r="X28" s="1"/>
  <c r="R19"/>
  <c r="P19" s="1"/>
  <c r="P26" s="1"/>
  <c r="X26" s="1"/>
  <c r="Q18"/>
  <c r="O18" s="1"/>
  <c r="R24" s="1"/>
  <c r="X6" s="1"/>
  <c r="Q21"/>
  <c r="O21" s="1"/>
  <c r="O24" s="1"/>
  <c r="X3" s="1"/>
  <c r="Q19"/>
  <c r="O19" s="1"/>
  <c r="P24" s="1"/>
  <c r="X4" s="1"/>
  <c r="Q20"/>
  <c r="O20" s="1"/>
  <c r="S24" s="1"/>
  <c r="X7" s="1"/>
  <c r="P17"/>
  <c r="Q26" s="1"/>
  <c r="X27" s="1"/>
  <c r="L24"/>
  <c r="L25"/>
  <c r="L23"/>
  <c r="L22"/>
  <c r="K25"/>
  <c r="K23"/>
  <c r="K22"/>
  <c r="K24"/>
  <c r="W2" l="1"/>
  <c r="W24"/>
  <c r="P54"/>
  <c r="W35" l="1"/>
  <c r="W13"/>
  <c r="Y13" a="1"/>
  <c r="Y35" a="1"/>
  <c r="Y38" l="1"/>
  <c r="Q34" s="1"/>
  <c r="Y37"/>
  <c r="Q33" s="1"/>
  <c r="Y43"/>
  <c r="Q39" s="1"/>
  <c r="Y36"/>
  <c r="Q32" s="1"/>
  <c r="Y39"/>
  <c r="Q35" s="1"/>
  <c r="Y40"/>
  <c r="Q36" s="1"/>
  <c r="Y35"/>
  <c r="Q31" s="1"/>
  <c r="Y41"/>
  <c r="Q37" s="1"/>
  <c r="Y42"/>
  <c r="Q38" s="1"/>
  <c r="Y21"/>
  <c r="P39" s="1"/>
  <c r="Y16"/>
  <c r="P34" s="1"/>
  <c r="Y19"/>
  <c r="P37" s="1"/>
  <c r="Y15"/>
  <c r="P33" s="1"/>
  <c r="Y14"/>
  <c r="P32" s="1"/>
  <c r="Y17"/>
  <c r="P35" s="1"/>
  <c r="Y13"/>
  <c r="P31" s="1"/>
  <c r="Y18"/>
  <c r="P36" s="1"/>
  <c r="Y20"/>
  <c r="P38" s="1"/>
</calcChain>
</file>

<file path=xl/sharedStrings.xml><?xml version="1.0" encoding="utf-8"?>
<sst xmlns="http://schemas.openxmlformats.org/spreadsheetml/2006/main" count="276" uniqueCount="130">
  <si>
    <t>Evaluation Date</t>
  </si>
  <si>
    <t>SetEvaluationDate</t>
  </si>
  <si>
    <t>CCY</t>
  </si>
  <si>
    <t>FX</t>
  </si>
  <si>
    <t>USD</t>
  </si>
  <si>
    <t>USD Libor</t>
  </si>
  <si>
    <t>Date</t>
  </si>
  <si>
    <t>Rate</t>
  </si>
  <si>
    <t>DF</t>
  </si>
  <si>
    <t>TWD Swap Points</t>
  </si>
  <si>
    <t>F/S</t>
  </si>
  <si>
    <t>string</t>
  </si>
  <si>
    <t>ObjectId</t>
  </si>
  <si>
    <t>vec&lt;long&gt;</t>
  </si>
  <si>
    <t>RateDates</t>
  </si>
  <si>
    <t>vec&lt;double&gt;</t>
  </si>
  <si>
    <t>DayCounter</t>
  </si>
  <si>
    <t>bool</t>
  </si>
  <si>
    <t>Permanent</t>
  </si>
  <si>
    <t>any</t>
  </si>
  <si>
    <t>Trigger</t>
  </si>
  <si>
    <t>Overwrite</t>
  </si>
  <si>
    <t>TWDDFCurve</t>
  </si>
  <si>
    <t>A/365F</t>
  </si>
  <si>
    <t>YieldTSDiscount</t>
    <phoneticPr fontId="8" type="noConversion"/>
  </si>
  <si>
    <t>Date</t>
    <phoneticPr fontId="8" type="noConversion"/>
  </si>
  <si>
    <t>DF</t>
    <phoneticPr fontId="8" type="noConversion"/>
  </si>
  <si>
    <t>ZeroRate</t>
    <phoneticPr fontId="8" type="noConversion"/>
  </si>
  <si>
    <t>string</t>
    <phoneticPr fontId="8" type="noConversion"/>
  </si>
  <si>
    <t>vector&lt;long&gt;</t>
    <phoneticPr fontId="8" type="noConversion"/>
  </si>
  <si>
    <t>bool</t>
    <phoneticPr fontId="8" type="noConversion"/>
  </si>
  <si>
    <t>any</t>
    <phoneticPr fontId="8" type="noConversion"/>
  </si>
  <si>
    <t>YieldTSZeroRate</t>
    <phoneticPr fontId="8" type="noConversion"/>
  </si>
  <si>
    <t>A/365F</t>
    <phoneticPr fontId="8" type="noConversion"/>
  </si>
  <si>
    <t>USD</t>
    <phoneticPr fontId="2" type="noConversion"/>
  </si>
  <si>
    <t>A/360</t>
    <phoneticPr fontId="8" type="noConversion"/>
  </si>
  <si>
    <t>Annual</t>
    <phoneticPr fontId="8" type="noConversion"/>
  </si>
  <si>
    <t>Continuous</t>
    <phoneticPr fontId="8" type="noConversion"/>
  </si>
  <si>
    <t>DiscountCurve</t>
    <phoneticPr fontId="8" type="noConversion"/>
  </si>
  <si>
    <t>USDDFCurve</t>
    <phoneticPr fontId="2" type="noConversion"/>
  </si>
  <si>
    <t>B7:B10</t>
    <phoneticPr fontId="2" type="noConversion"/>
  </si>
  <si>
    <t>D7:D10</t>
    <phoneticPr fontId="2" type="noConversion"/>
  </si>
  <si>
    <t>A/360</t>
    <phoneticPr fontId="2" type="noConversion"/>
  </si>
  <si>
    <t>B14:B17</t>
    <phoneticPr fontId="2" type="noConversion"/>
  </si>
  <si>
    <t>E14:E17</t>
    <phoneticPr fontId="2" type="noConversion"/>
  </si>
  <si>
    <t>ContractNo</t>
    <phoneticPr fontId="2" type="noConversion"/>
  </si>
  <si>
    <t>TradeDate</t>
    <phoneticPr fontId="2" type="noConversion"/>
  </si>
  <si>
    <t>MaturityDate</t>
    <phoneticPr fontId="2" type="noConversion"/>
  </si>
  <si>
    <t>Position</t>
    <phoneticPr fontId="2" type="noConversion"/>
  </si>
  <si>
    <t>TWD</t>
    <phoneticPr fontId="2" type="noConversion"/>
  </si>
  <si>
    <t>CommAmt</t>
    <phoneticPr fontId="2" type="noConversion"/>
  </si>
  <si>
    <t>Strike</t>
    <phoneticPr fontId="2" type="noConversion"/>
  </si>
  <si>
    <t>6M</t>
    <phoneticPr fontId="2" type="noConversion"/>
  </si>
  <si>
    <t>1Y</t>
    <phoneticPr fontId="2" type="noConversion"/>
  </si>
  <si>
    <t>3Y</t>
    <phoneticPr fontId="2" type="noConversion"/>
  </si>
  <si>
    <t>5Y</t>
    <phoneticPr fontId="2" type="noConversion"/>
  </si>
  <si>
    <t>10Y</t>
    <phoneticPr fontId="2" type="noConversion"/>
  </si>
  <si>
    <t>ATM</t>
    <phoneticPr fontId="2" type="noConversion"/>
  </si>
  <si>
    <t>25D_RR</t>
    <phoneticPr fontId="2" type="noConversion"/>
  </si>
  <si>
    <t>25D_BF</t>
    <phoneticPr fontId="2" type="noConversion"/>
  </si>
  <si>
    <t>10D_RR</t>
    <phoneticPr fontId="2" type="noConversion"/>
  </si>
  <si>
    <t>10D_BF</t>
    <phoneticPr fontId="2" type="noConversion"/>
  </si>
  <si>
    <t>USDTWDVol</t>
    <phoneticPr fontId="2" type="noConversion"/>
  </si>
  <si>
    <t>25D_Call</t>
    <phoneticPr fontId="2" type="noConversion"/>
  </si>
  <si>
    <t>25D_Put</t>
    <phoneticPr fontId="2" type="noConversion"/>
  </si>
  <si>
    <t>10D_Call</t>
    <phoneticPr fontId="2" type="noConversion"/>
  </si>
  <si>
    <t>10D_Put</t>
    <phoneticPr fontId="2" type="noConversion"/>
  </si>
  <si>
    <t>Alpha6M</t>
    <phoneticPr fontId="2" type="noConversion"/>
  </si>
  <si>
    <t>Alpha1Y</t>
    <phoneticPr fontId="2" type="noConversion"/>
  </si>
  <si>
    <t>10D_Put</t>
    <phoneticPr fontId="2" type="noConversion"/>
  </si>
  <si>
    <t>10P</t>
    <phoneticPr fontId="2" type="noConversion"/>
  </si>
  <si>
    <t>25P</t>
    <phoneticPr fontId="2" type="noConversion"/>
  </si>
  <si>
    <t>25C</t>
    <phoneticPr fontId="2" type="noConversion"/>
  </si>
  <si>
    <t>10C</t>
    <phoneticPr fontId="2" type="noConversion"/>
  </si>
  <si>
    <t>6M_K</t>
    <phoneticPr fontId="2" type="noConversion"/>
  </si>
  <si>
    <t>6M_Vol</t>
    <phoneticPr fontId="2" type="noConversion"/>
  </si>
  <si>
    <t>12M_K</t>
    <phoneticPr fontId="2" type="noConversion"/>
  </si>
  <si>
    <t>12M_Vol</t>
    <phoneticPr fontId="2" type="noConversion"/>
  </si>
  <si>
    <t>Interpolation</t>
    <phoneticPr fontId="8" type="noConversion"/>
  </si>
  <si>
    <t>Xarray</t>
    <phoneticPr fontId="8" type="noConversion"/>
  </si>
  <si>
    <t>Yarray</t>
    <phoneticPr fontId="8" type="noConversion"/>
  </si>
  <si>
    <t>string</t>
    <phoneticPr fontId="8" type="noConversion"/>
  </si>
  <si>
    <t>ObjectId</t>
    <phoneticPr fontId="8" type="noConversion"/>
  </si>
  <si>
    <t>InterplationType</t>
    <phoneticPr fontId="8" type="noConversion"/>
  </si>
  <si>
    <t>vec&lt;double&gt;</t>
    <phoneticPr fontId="8" type="noConversion"/>
  </si>
  <si>
    <t>bool</t>
    <phoneticPr fontId="8" type="noConversion"/>
  </si>
  <si>
    <t>Permanent</t>
    <phoneticPr fontId="8" type="noConversion"/>
  </si>
  <si>
    <t>any</t>
    <phoneticPr fontId="8" type="noConversion"/>
  </si>
  <si>
    <t>Trigger</t>
    <phoneticPr fontId="8" type="noConversion"/>
  </si>
  <si>
    <t>Overwrite</t>
    <phoneticPr fontId="8" type="noConversion"/>
  </si>
  <si>
    <t>InterpolationInterpolate</t>
    <phoneticPr fontId="8" type="noConversion"/>
  </si>
  <si>
    <t>XValues</t>
    <phoneticPr fontId="8" type="noConversion"/>
  </si>
  <si>
    <t>Yvalues</t>
    <phoneticPr fontId="8" type="noConversion"/>
  </si>
  <si>
    <t>AllowExtrapolation</t>
    <phoneticPr fontId="8" type="noConversion"/>
  </si>
  <si>
    <t>Linear</t>
    <phoneticPr fontId="8" type="noConversion"/>
  </si>
  <si>
    <t>6MLNInterpol</t>
    <phoneticPr fontId="8" type="noConversion"/>
  </si>
  <si>
    <t>1YLNInterpol</t>
    <phoneticPr fontId="8" type="noConversion"/>
  </si>
  <si>
    <t>Dates</t>
    <phoneticPr fontId="8" type="noConversion"/>
  </si>
  <si>
    <t>Strikes</t>
    <phoneticPr fontId="8" type="noConversion"/>
  </si>
  <si>
    <t>0.5Y</t>
    <phoneticPr fontId="8" type="noConversion"/>
  </si>
  <si>
    <t>1Y</t>
    <phoneticPr fontId="2" type="noConversion"/>
  </si>
  <si>
    <t>ValueDate</t>
    <phoneticPr fontId="2" type="noConversion"/>
  </si>
  <si>
    <t>OPT001</t>
    <phoneticPr fontId="2" type="noConversion"/>
  </si>
  <si>
    <t>OPT002</t>
    <phoneticPr fontId="2" type="noConversion"/>
  </si>
  <si>
    <t>OPT003</t>
    <phoneticPr fontId="2" type="noConversion"/>
  </si>
  <si>
    <t>TYPE</t>
    <phoneticPr fontId="2" type="noConversion"/>
  </si>
  <si>
    <t>VLN</t>
    <phoneticPr fontId="2" type="noConversion"/>
  </si>
  <si>
    <t>CLASS</t>
    <phoneticPr fontId="2" type="noConversion"/>
  </si>
  <si>
    <t>Call</t>
    <phoneticPr fontId="2" type="noConversion"/>
  </si>
  <si>
    <t>Put</t>
    <phoneticPr fontId="2" type="noConversion"/>
  </si>
  <si>
    <t>USDTWD</t>
    <phoneticPr fontId="2" type="noConversion"/>
  </si>
  <si>
    <t>VolClass</t>
    <phoneticPr fontId="2" type="noConversion"/>
  </si>
  <si>
    <t>COMMCCY</t>
    <phoneticPr fontId="2" type="noConversion"/>
  </si>
  <si>
    <t>USD</t>
    <phoneticPr fontId="2" type="noConversion"/>
  </si>
  <si>
    <t>TERMCCY</t>
    <phoneticPr fontId="2" type="noConversion"/>
  </si>
  <si>
    <t>TWD</t>
    <phoneticPr fontId="2" type="noConversion"/>
  </si>
  <si>
    <t>Stike</t>
    <phoneticPr fontId="2" type="noConversion"/>
  </si>
  <si>
    <t>Long</t>
    <phoneticPr fontId="2" type="noConversion"/>
  </si>
  <si>
    <t>Short</t>
    <phoneticPr fontId="2" type="noConversion"/>
  </si>
  <si>
    <t>Delta</t>
  </si>
  <si>
    <t>Curv_Up</t>
  </si>
  <si>
    <t>Curv_Dn</t>
  </si>
  <si>
    <t>Total</t>
  </si>
  <si>
    <t>ContractNo</t>
  </si>
  <si>
    <t>MTM</t>
  </si>
  <si>
    <t>FWD001</t>
  </si>
  <si>
    <t>FWD002</t>
  </si>
  <si>
    <t>FWD003</t>
  </si>
  <si>
    <t>TWD</t>
  </si>
  <si>
    <t>Vega</t>
    <phoneticPr fontId="2" type="noConversion"/>
  </si>
</sst>
</file>

<file path=xl/styles.xml><?xml version="1.0" encoding="utf-8"?>
<styleSheet xmlns="http://schemas.openxmlformats.org/spreadsheetml/2006/main">
  <numFmts count="10">
    <numFmt numFmtId="43" formatCode="_-* #,##0.00_-;\-* #,##0.00_-;_-* &quot;-&quot;??_-;_-@_-"/>
    <numFmt numFmtId="176" formatCode="0.000_ "/>
    <numFmt numFmtId="177" formatCode="0.00000%"/>
    <numFmt numFmtId="178" formatCode="0.00000_ "/>
    <numFmt numFmtId="179" formatCode="0.00000000_ "/>
    <numFmt numFmtId="180" formatCode="0.0000%"/>
    <numFmt numFmtId="181" formatCode="0.000000_ "/>
    <numFmt numFmtId="182" formatCode="_-* #,##0_-;\-* #,##0_-;_-* &quot;-&quot;??_-;_-@_-"/>
    <numFmt numFmtId="183" formatCode="0.0000_ "/>
    <numFmt numFmtId="186" formatCode="0_ "/>
  </numFmts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CC"/>
      <name val="Consolas"/>
      <family val="3"/>
    </font>
    <font>
      <sz val="12"/>
      <color rgb="FFFF0000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b/>
      <sz val="12"/>
      <color indexed="12"/>
      <name val="Arial"/>
      <family val="2"/>
    </font>
    <font>
      <sz val="9"/>
      <name val="新細明體"/>
      <family val="1"/>
      <charset val="136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12"/>
      <color rgb="FF0000CC"/>
      <name val="Arial"/>
      <family val="2"/>
    </font>
    <font>
      <b/>
      <sz val="12"/>
      <color rgb="FF0000CC"/>
      <name val="Arial"/>
      <family val="2"/>
    </font>
    <font>
      <sz val="12"/>
      <color indexed="16"/>
      <name val="Arial"/>
      <family val="2"/>
    </font>
    <font>
      <sz val="12"/>
      <color theme="1"/>
      <name val="Arial"/>
      <family val="2"/>
    </font>
    <font>
      <sz val="12"/>
      <color rgb="FF0066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indexed="16"/>
      <name val="Arial"/>
      <family val="2"/>
    </font>
    <font>
      <sz val="12"/>
      <color rgb="FF0000F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9" fillId="2" borderId="11" xfId="0" applyFont="1" applyFill="1" applyBorder="1">
      <alignment vertical="center"/>
    </xf>
    <xf numFmtId="0" fontId="10" fillId="6" borderId="12" xfId="0" applyFont="1" applyFill="1" applyBorder="1">
      <alignment vertical="center"/>
    </xf>
    <xf numFmtId="0" fontId="10" fillId="6" borderId="13" xfId="0" applyFont="1" applyFill="1" applyBorder="1">
      <alignment vertical="center"/>
    </xf>
    <xf numFmtId="0" fontId="10" fillId="6" borderId="14" xfId="0" applyFont="1" applyFill="1" applyBorder="1">
      <alignment vertical="center"/>
    </xf>
    <xf numFmtId="0" fontId="10" fillId="0" borderId="0" xfId="0" applyFont="1" applyFill="1" applyBorder="1">
      <alignment vertical="center"/>
    </xf>
    <xf numFmtId="14" fontId="7" fillId="2" borderId="2" xfId="0" applyNumberFormat="1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11" fillId="7" borderId="3" xfId="0" applyFont="1" applyFill="1" applyBorder="1">
      <alignment vertical="center"/>
    </xf>
    <xf numFmtId="0" fontId="11" fillId="7" borderId="5" xfId="0" applyFont="1" applyFill="1" applyBorder="1">
      <alignment vertical="center"/>
    </xf>
    <xf numFmtId="0" fontId="11" fillId="7" borderId="7" xfId="0" quotePrefix="1" applyFont="1" applyFill="1" applyBorder="1">
      <alignment vertical="center"/>
    </xf>
    <xf numFmtId="0" fontId="11" fillId="7" borderId="13" xfId="0" applyFont="1" applyFill="1" applyBorder="1">
      <alignment vertical="center"/>
    </xf>
    <xf numFmtId="0" fontId="11" fillId="0" borderId="0" xfId="0" applyFont="1">
      <alignment vertical="center"/>
    </xf>
    <xf numFmtId="0" fontId="11" fillId="7" borderId="14" xfId="0" applyFont="1" applyFill="1" applyBorder="1">
      <alignment vertical="center"/>
    </xf>
    <xf numFmtId="14" fontId="15" fillId="0" borderId="0" xfId="0" applyNumberFormat="1" applyFont="1">
      <alignment vertical="center"/>
    </xf>
    <xf numFmtId="179" fontId="13" fillId="0" borderId="12" xfId="0" applyNumberFormat="1" applyFont="1" applyBorder="1">
      <alignment vertical="center"/>
    </xf>
    <xf numFmtId="179" fontId="13" fillId="0" borderId="13" xfId="0" applyNumberFormat="1" applyFont="1" applyBorder="1">
      <alignment vertical="center"/>
    </xf>
    <xf numFmtId="179" fontId="13" fillId="0" borderId="14" xfId="0" applyNumberFormat="1" applyFont="1" applyBorder="1">
      <alignment vertical="center"/>
    </xf>
    <xf numFmtId="0" fontId="7" fillId="2" borderId="12" xfId="0" applyFont="1" applyFill="1" applyBorder="1">
      <alignment vertical="center"/>
    </xf>
    <xf numFmtId="14" fontId="12" fillId="0" borderId="0" xfId="0" applyNumberFormat="1" applyFont="1" applyBorder="1">
      <alignment vertical="center"/>
    </xf>
    <xf numFmtId="179" fontId="13" fillId="0" borderId="0" xfId="0" applyNumberFormat="1" applyFont="1" applyBorder="1">
      <alignment vertical="center"/>
    </xf>
    <xf numFmtId="180" fontId="13" fillId="0" borderId="0" xfId="1" applyNumberFormat="1" applyFont="1" applyBorder="1">
      <alignment vertical="center"/>
    </xf>
    <xf numFmtId="14" fontId="12" fillId="0" borderId="12" xfId="0" applyNumberFormat="1" applyFont="1" applyBorder="1">
      <alignment vertical="center"/>
    </xf>
    <xf numFmtId="14" fontId="12" fillId="0" borderId="13" xfId="0" applyNumberFormat="1" applyFont="1" applyBorder="1">
      <alignment vertical="center"/>
    </xf>
    <xf numFmtId="14" fontId="12" fillId="0" borderId="14" xfId="0" applyNumberFormat="1" applyFont="1" applyBorder="1">
      <alignment vertical="center"/>
    </xf>
    <xf numFmtId="180" fontId="13" fillId="0" borderId="12" xfId="1" applyNumberFormat="1" applyFont="1" applyBorder="1">
      <alignment vertical="center"/>
    </xf>
    <xf numFmtId="180" fontId="13" fillId="0" borderId="13" xfId="1" applyNumberFormat="1" applyFont="1" applyBorder="1">
      <alignment vertical="center"/>
    </xf>
    <xf numFmtId="180" fontId="13" fillId="0" borderId="14" xfId="1" applyNumberFormat="1" applyFont="1" applyBorder="1">
      <alignment vertical="center"/>
    </xf>
    <xf numFmtId="0" fontId="11" fillId="7" borderId="12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6" fillId="0" borderId="12" xfId="0" applyFont="1" applyFill="1" applyBorder="1">
      <alignment vertical="center"/>
    </xf>
    <xf numFmtId="10" fontId="16" fillId="0" borderId="13" xfId="0" applyNumberFormat="1" applyFont="1" applyFill="1" applyBorder="1">
      <alignment vertical="center"/>
    </xf>
    <xf numFmtId="0" fontId="16" fillId="0" borderId="13" xfId="0" applyFont="1" applyFill="1" applyBorder="1">
      <alignment vertical="center"/>
    </xf>
    <xf numFmtId="0" fontId="16" fillId="0" borderId="14" xfId="0" applyFont="1" applyFill="1" applyBorder="1">
      <alignment vertical="center"/>
    </xf>
    <xf numFmtId="0" fontId="17" fillId="0" borderId="0" xfId="0" applyFont="1">
      <alignment vertical="center"/>
    </xf>
    <xf numFmtId="0" fontId="3" fillId="0" borderId="0" xfId="0" applyFont="1" applyBorder="1">
      <alignment vertical="center"/>
    </xf>
    <xf numFmtId="176" fontId="4" fillId="0" borderId="0" xfId="0" applyNumberFormat="1" applyFont="1" applyBorder="1">
      <alignment vertical="center"/>
    </xf>
    <xf numFmtId="0" fontId="17" fillId="0" borderId="2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2" fillId="4" borderId="3" xfId="0" applyFont="1" applyFill="1" applyBorder="1">
      <alignment vertical="center"/>
    </xf>
    <xf numFmtId="0" fontId="12" fillId="4" borderId="9" xfId="0" applyFont="1" applyFill="1" applyBorder="1">
      <alignment vertical="center"/>
    </xf>
    <xf numFmtId="0" fontId="14" fillId="4" borderId="4" xfId="0" applyFont="1" applyFill="1" applyBorder="1">
      <alignment vertical="center"/>
    </xf>
    <xf numFmtId="14" fontId="14" fillId="5" borderId="5" xfId="0" applyNumberFormat="1" applyFont="1" applyFill="1" applyBorder="1">
      <alignment vertical="center"/>
    </xf>
    <xf numFmtId="177" fontId="18" fillId="0" borderId="0" xfId="1" applyNumberFormat="1" applyFont="1" applyFill="1" applyBorder="1">
      <alignment vertical="center"/>
    </xf>
    <xf numFmtId="179" fontId="17" fillId="0" borderId="6" xfId="1" applyNumberFormat="1" applyFont="1" applyFill="1" applyBorder="1">
      <alignment vertical="center"/>
    </xf>
    <xf numFmtId="177" fontId="14" fillId="0" borderId="0" xfId="1" applyNumberFormat="1" applyFont="1" applyFill="1" applyBorder="1">
      <alignment vertical="center"/>
    </xf>
    <xf numFmtId="179" fontId="17" fillId="0" borderId="6" xfId="0" applyNumberFormat="1" applyFont="1" applyFill="1" applyBorder="1">
      <alignment vertical="center"/>
    </xf>
    <xf numFmtId="177" fontId="14" fillId="0" borderId="0" xfId="0" applyNumberFormat="1" applyFont="1" applyFill="1" applyBorder="1">
      <alignment vertical="center"/>
    </xf>
    <xf numFmtId="14" fontId="14" fillId="5" borderId="7" xfId="0" applyNumberFormat="1" applyFont="1" applyFill="1" applyBorder="1">
      <alignment vertical="center"/>
    </xf>
    <xf numFmtId="177" fontId="14" fillId="0" borderId="10" xfId="0" applyNumberFormat="1" applyFont="1" applyFill="1" applyBorder="1">
      <alignment vertical="center"/>
    </xf>
    <xf numFmtId="179" fontId="17" fillId="0" borderId="8" xfId="0" applyNumberFormat="1" applyFont="1" applyFill="1" applyBorder="1">
      <alignment vertical="center"/>
    </xf>
    <xf numFmtId="0" fontId="14" fillId="4" borderId="9" xfId="0" applyFont="1" applyFill="1" applyBorder="1">
      <alignment vertical="center"/>
    </xf>
    <xf numFmtId="178" fontId="14" fillId="0" borderId="0" xfId="0" applyNumberFormat="1" applyFont="1" applyFill="1" applyBorder="1" applyAlignment="1"/>
    <xf numFmtId="179" fontId="17" fillId="0" borderId="0" xfId="0" applyNumberFormat="1" applyFont="1" applyFill="1" applyBorder="1">
      <alignment vertical="center"/>
    </xf>
    <xf numFmtId="178" fontId="14" fillId="0" borderId="0" xfId="0" applyNumberFormat="1" applyFont="1" applyFill="1" applyBorder="1" applyAlignment="1">
      <alignment vertical="center"/>
    </xf>
    <xf numFmtId="177" fontId="19" fillId="0" borderId="6" xfId="1" applyNumberFormat="1" applyFont="1" applyFill="1" applyBorder="1">
      <alignment vertical="center"/>
    </xf>
    <xf numFmtId="178" fontId="14" fillId="0" borderId="10" xfId="0" applyNumberFormat="1" applyFont="1" applyFill="1" applyBorder="1" applyAlignment="1">
      <alignment vertical="center"/>
    </xf>
    <xf numFmtId="179" fontId="17" fillId="0" borderId="10" xfId="0" applyNumberFormat="1" applyFont="1" applyFill="1" applyBorder="1">
      <alignment vertical="center"/>
    </xf>
    <xf numFmtId="177" fontId="11" fillId="0" borderId="8" xfId="1" applyNumberFormat="1" applyFont="1" applyFill="1" applyBorder="1">
      <alignment vertical="center"/>
    </xf>
    <xf numFmtId="0" fontId="10" fillId="0" borderId="0" xfId="0" applyFont="1">
      <alignment vertical="center"/>
    </xf>
    <xf numFmtId="14" fontId="7" fillId="0" borderId="0" xfId="0" applyNumberFormat="1" applyFont="1">
      <alignment vertical="center"/>
    </xf>
    <xf numFmtId="14" fontId="9" fillId="2" borderId="2" xfId="0" applyNumberFormat="1" applyFont="1" applyFill="1" applyBorder="1">
      <alignment vertical="center"/>
    </xf>
    <xf numFmtId="0" fontId="20" fillId="3" borderId="3" xfId="0" applyFont="1" applyFill="1" applyBorder="1">
      <alignment vertical="center"/>
    </xf>
    <xf numFmtId="0" fontId="20" fillId="3" borderId="4" xfId="0" applyFont="1" applyFill="1" applyBorder="1">
      <alignment vertical="center"/>
    </xf>
    <xf numFmtId="0" fontId="14" fillId="0" borderId="7" xfId="0" applyFont="1" applyBorder="1">
      <alignment vertical="center"/>
    </xf>
    <xf numFmtId="176" fontId="19" fillId="0" borderId="8" xfId="0" applyNumberFormat="1" applyFont="1" applyBorder="1">
      <alignment vertical="center"/>
    </xf>
    <xf numFmtId="14" fontId="5" fillId="0" borderId="0" xfId="0" applyNumberFormat="1" applyFont="1">
      <alignment vertical="center"/>
    </xf>
    <xf numFmtId="182" fontId="5" fillId="0" borderId="0" xfId="2" applyNumberFormat="1" applyFont="1">
      <alignment vertical="center"/>
    </xf>
    <xf numFmtId="181" fontId="5" fillId="0" borderId="0" xfId="1" applyNumberFormat="1" applyFont="1">
      <alignment vertical="center"/>
    </xf>
    <xf numFmtId="181" fontId="5" fillId="0" borderId="0" xfId="0" applyNumberFormat="1" applyFont="1">
      <alignment vertical="center"/>
    </xf>
    <xf numFmtId="180" fontId="17" fillId="0" borderId="0" xfId="0" applyNumberFormat="1" applyFont="1" applyBorder="1">
      <alignment vertical="center"/>
    </xf>
    <xf numFmtId="180" fontId="17" fillId="0" borderId="6" xfId="0" applyNumberFormat="1" applyFont="1" applyBorder="1">
      <alignment vertical="center"/>
    </xf>
    <xf numFmtId="180" fontId="17" fillId="0" borderId="10" xfId="0" applyNumberFormat="1" applyFont="1" applyBorder="1">
      <alignment vertical="center"/>
    </xf>
    <xf numFmtId="180" fontId="17" fillId="0" borderId="8" xfId="0" applyNumberFormat="1" applyFont="1" applyBorder="1">
      <alignment vertical="center"/>
    </xf>
    <xf numFmtId="180" fontId="17" fillId="0" borderId="3" xfId="0" applyNumberFormat="1" applyFont="1" applyBorder="1">
      <alignment vertical="center"/>
    </xf>
    <xf numFmtId="180" fontId="17" fillId="0" borderId="9" xfId="0" applyNumberFormat="1" applyFont="1" applyBorder="1">
      <alignment vertical="center"/>
    </xf>
    <xf numFmtId="180" fontId="17" fillId="0" borderId="4" xfId="0" applyNumberFormat="1" applyFont="1" applyBorder="1">
      <alignment vertical="center"/>
    </xf>
    <xf numFmtId="180" fontId="17" fillId="0" borderId="5" xfId="0" applyNumberFormat="1" applyFont="1" applyBorder="1">
      <alignment vertical="center"/>
    </xf>
    <xf numFmtId="180" fontId="17" fillId="0" borderId="7" xfId="0" applyNumberFormat="1" applyFont="1" applyBorder="1">
      <alignment vertical="center"/>
    </xf>
    <xf numFmtId="0" fontId="14" fillId="3" borderId="1" xfId="0" applyFont="1" applyFill="1" applyBorder="1">
      <alignment vertical="center"/>
    </xf>
    <xf numFmtId="0" fontId="14" fillId="3" borderId="15" xfId="0" applyFont="1" applyFill="1" applyBorder="1">
      <alignment vertical="center"/>
    </xf>
    <xf numFmtId="0" fontId="14" fillId="3" borderId="11" xfId="0" applyFont="1" applyFill="1" applyBorder="1">
      <alignment vertical="center"/>
    </xf>
    <xf numFmtId="0" fontId="14" fillId="5" borderId="5" xfId="0" applyFont="1" applyFill="1" applyBorder="1">
      <alignment vertical="center"/>
    </xf>
    <xf numFmtId="0" fontId="14" fillId="5" borderId="7" xfId="0" applyFont="1" applyFill="1" applyBorder="1">
      <alignment vertical="center"/>
    </xf>
    <xf numFmtId="183" fontId="17" fillId="0" borderId="3" xfId="0" applyNumberFormat="1" applyFont="1" applyBorder="1">
      <alignment vertical="center"/>
    </xf>
    <xf numFmtId="0" fontId="14" fillId="3" borderId="3" xfId="0" applyFont="1" applyFill="1" applyBorder="1">
      <alignment vertical="center"/>
    </xf>
    <xf numFmtId="0" fontId="14" fillId="3" borderId="9" xfId="0" applyFont="1" applyFill="1" applyBorder="1">
      <alignment vertical="center"/>
    </xf>
    <xf numFmtId="0" fontId="14" fillId="3" borderId="4" xfId="0" applyFont="1" applyFill="1" applyBorder="1">
      <alignment vertical="center"/>
    </xf>
    <xf numFmtId="183" fontId="17" fillId="0" borderId="5" xfId="0" applyNumberFormat="1" applyFont="1" applyBorder="1">
      <alignment vertical="center"/>
    </xf>
    <xf numFmtId="183" fontId="17" fillId="0" borderId="0" xfId="0" applyNumberFormat="1" applyFont="1" applyBorder="1">
      <alignment vertical="center"/>
    </xf>
    <xf numFmtId="183" fontId="17" fillId="0" borderId="4" xfId="0" applyNumberFormat="1" applyFont="1" applyBorder="1">
      <alignment vertical="center"/>
    </xf>
    <xf numFmtId="183" fontId="17" fillId="0" borderId="6" xfId="0" applyNumberFormat="1" applyFont="1" applyBorder="1">
      <alignment vertical="center"/>
    </xf>
    <xf numFmtId="183" fontId="17" fillId="0" borderId="7" xfId="0" applyNumberFormat="1" applyFont="1" applyBorder="1">
      <alignment vertical="center"/>
    </xf>
    <xf numFmtId="183" fontId="17" fillId="0" borderId="8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81" fontId="17" fillId="0" borderId="5" xfId="0" applyNumberFormat="1" applyFont="1" applyBorder="1">
      <alignment vertical="center"/>
    </xf>
    <xf numFmtId="181" fontId="17" fillId="0" borderId="6" xfId="0" applyNumberFormat="1" applyFont="1" applyBorder="1">
      <alignment vertical="center"/>
    </xf>
    <xf numFmtId="181" fontId="17" fillId="0" borderId="7" xfId="0" applyNumberFormat="1" applyFont="1" applyBorder="1">
      <alignment vertical="center"/>
    </xf>
    <xf numFmtId="181" fontId="17" fillId="0" borderId="8" xfId="0" applyNumberFormat="1" applyFont="1" applyBorder="1">
      <alignment vertical="center"/>
    </xf>
    <xf numFmtId="0" fontId="14" fillId="5" borderId="12" xfId="0" applyFont="1" applyFill="1" applyBorder="1">
      <alignment vertical="center"/>
    </xf>
    <xf numFmtId="183" fontId="17" fillId="0" borderId="9" xfId="0" applyNumberFormat="1" applyFont="1" applyBorder="1">
      <alignment vertical="center"/>
    </xf>
    <xf numFmtId="0" fontId="14" fillId="5" borderId="13" xfId="0" applyFont="1" applyFill="1" applyBorder="1">
      <alignment vertical="center"/>
    </xf>
    <xf numFmtId="0" fontId="14" fillId="5" borderId="14" xfId="0" applyFont="1" applyFill="1" applyBorder="1">
      <alignment vertical="center"/>
    </xf>
    <xf numFmtId="180" fontId="17" fillId="0" borderId="5" xfId="1" applyNumberFormat="1" applyFont="1" applyBorder="1">
      <alignment vertical="center"/>
    </xf>
    <xf numFmtId="180" fontId="17" fillId="0" borderId="0" xfId="1" applyNumberFormat="1" applyFont="1" applyBorder="1">
      <alignment vertical="center"/>
    </xf>
    <xf numFmtId="180" fontId="17" fillId="0" borderId="6" xfId="1" applyNumberFormat="1" applyFont="1" applyBorder="1">
      <alignment vertical="center"/>
    </xf>
    <xf numFmtId="180" fontId="17" fillId="0" borderId="7" xfId="1" applyNumberFormat="1" applyFont="1" applyBorder="1">
      <alignment vertical="center"/>
    </xf>
    <xf numFmtId="180" fontId="17" fillId="0" borderId="10" xfId="1" applyNumberFormat="1" applyFont="1" applyBorder="1">
      <alignment vertical="center"/>
    </xf>
    <xf numFmtId="180" fontId="17" fillId="0" borderId="8" xfId="1" applyNumberFormat="1" applyFont="1" applyBorder="1">
      <alignment vertical="center"/>
    </xf>
    <xf numFmtId="0" fontId="10" fillId="7" borderId="12" xfId="0" applyFont="1" applyFill="1" applyBorder="1">
      <alignment vertical="center"/>
    </xf>
    <xf numFmtId="0" fontId="10" fillId="7" borderId="13" xfId="0" applyFont="1" applyFill="1" applyBorder="1">
      <alignment vertical="center"/>
    </xf>
    <xf numFmtId="0" fontId="10" fillId="7" borderId="14" xfId="0" applyFont="1" applyFill="1" applyBorder="1">
      <alignment vertical="center"/>
    </xf>
    <xf numFmtId="0" fontId="0" fillId="2" borderId="11" xfId="0" applyFill="1" applyBorder="1">
      <alignment vertical="center"/>
    </xf>
    <xf numFmtId="0" fontId="10" fillId="7" borderId="13" xfId="0" quotePrefix="1" applyFont="1" applyFill="1" applyBorder="1">
      <alignment vertical="center"/>
    </xf>
    <xf numFmtId="180" fontId="16" fillId="0" borderId="6" xfId="0" applyNumberFormat="1" applyFont="1" applyBorder="1">
      <alignment vertical="center"/>
    </xf>
    <xf numFmtId="180" fontId="11" fillId="0" borderId="4" xfId="1" applyNumberFormat="1" applyFont="1" applyBorder="1">
      <alignment vertical="center"/>
    </xf>
    <xf numFmtId="180" fontId="11" fillId="0" borderId="6" xfId="1" applyNumberFormat="1" applyFont="1" applyBorder="1">
      <alignment vertical="center"/>
    </xf>
    <xf numFmtId="0" fontId="16" fillId="0" borderId="9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0" xfId="0" applyFont="1" applyBorder="1">
      <alignment vertical="center"/>
    </xf>
    <xf numFmtId="0" fontId="7" fillId="2" borderId="3" xfId="0" quotePrefix="1" applyFont="1" applyFill="1" applyBorder="1">
      <alignment vertical="center"/>
    </xf>
    <xf numFmtId="0" fontId="7" fillId="2" borderId="4" xfId="0" quotePrefix="1" applyFont="1" applyFill="1" applyBorder="1">
      <alignment vertical="center"/>
    </xf>
    <xf numFmtId="0" fontId="11" fillId="0" borderId="3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5" xfId="0" applyFont="1" applyFill="1" applyBorder="1">
      <alignment vertical="center"/>
    </xf>
    <xf numFmtId="0" fontId="11" fillId="0" borderId="7" xfId="0" applyFont="1" applyFill="1" applyBorder="1">
      <alignment vertical="center"/>
    </xf>
    <xf numFmtId="0" fontId="7" fillId="2" borderId="3" xfId="0" applyFont="1" applyFill="1" applyBorder="1">
      <alignment vertical="center"/>
    </xf>
    <xf numFmtId="183" fontId="16" fillId="0" borderId="0" xfId="0" applyNumberFormat="1" applyFont="1" applyBorder="1">
      <alignment vertical="center"/>
    </xf>
    <xf numFmtId="180" fontId="16" fillId="0" borderId="4" xfId="0" applyNumberFormat="1" applyFont="1" applyBorder="1">
      <alignment vertical="center"/>
    </xf>
    <xf numFmtId="180" fontId="16" fillId="0" borderId="8" xfId="0" applyNumberFormat="1" applyFont="1" applyBorder="1">
      <alignment vertical="center"/>
    </xf>
    <xf numFmtId="183" fontId="16" fillId="0" borderId="9" xfId="0" applyNumberFormat="1" applyFont="1" applyBorder="1">
      <alignment vertical="center"/>
    </xf>
    <xf numFmtId="183" fontId="16" fillId="0" borderId="10" xfId="0" applyNumberFormat="1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14" fontId="21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7" fillId="3" borderId="2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15" fillId="3" borderId="4" xfId="0" applyFont="1" applyFill="1" applyBorder="1">
      <alignment vertical="center"/>
    </xf>
    <xf numFmtId="14" fontId="15" fillId="0" borderId="1" xfId="0" applyNumberFormat="1" applyFont="1" applyBorder="1">
      <alignment vertical="center"/>
    </xf>
    <xf numFmtId="0" fontId="15" fillId="5" borderId="12" xfId="0" applyFont="1" applyFill="1" applyBorder="1">
      <alignment vertical="center"/>
    </xf>
    <xf numFmtId="0" fontId="15" fillId="5" borderId="13" xfId="0" applyFont="1" applyFill="1" applyBorder="1">
      <alignment vertical="center"/>
    </xf>
    <xf numFmtId="0" fontId="15" fillId="5" borderId="14" xfId="0" applyFont="1" applyFill="1" applyBorder="1">
      <alignment vertical="center"/>
    </xf>
    <xf numFmtId="180" fontId="19" fillId="0" borderId="3" xfId="1" applyNumberFormat="1" applyFont="1" applyBorder="1">
      <alignment vertical="center"/>
    </xf>
    <xf numFmtId="180" fontId="19" fillId="0" borderId="4" xfId="1" applyNumberFormat="1" applyFont="1" applyBorder="1">
      <alignment vertical="center"/>
    </xf>
    <xf numFmtId="180" fontId="19" fillId="0" borderId="5" xfId="1" applyNumberFormat="1" applyFont="1" applyBorder="1">
      <alignment vertical="center"/>
    </xf>
    <xf numFmtId="180" fontId="19" fillId="0" borderId="6" xfId="1" applyNumberFormat="1" applyFont="1" applyBorder="1">
      <alignment vertical="center"/>
    </xf>
    <xf numFmtId="180" fontId="19" fillId="0" borderId="7" xfId="1" applyNumberFormat="1" applyFont="1" applyBorder="1">
      <alignment vertical="center"/>
    </xf>
    <xf numFmtId="180" fontId="19" fillId="0" borderId="8" xfId="1" applyNumberFormat="1" applyFont="1" applyBorder="1">
      <alignment vertical="center"/>
    </xf>
    <xf numFmtId="0" fontId="0" fillId="0" borderId="0" xfId="0" applyAlignment="1"/>
    <xf numFmtId="0" fontId="5" fillId="5" borderId="0" xfId="0" applyFont="1" applyFill="1" applyAlignment="1"/>
    <xf numFmtId="0" fontId="5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/>
    <xf numFmtId="0" fontId="5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2" fillId="5" borderId="0" xfId="0" applyFont="1" applyFill="1" applyAlignment="1">
      <alignment vertical="center"/>
    </xf>
    <xf numFmtId="0" fontId="0" fillId="8" borderId="0" xfId="0" applyFill="1" applyAlignment="1"/>
    <xf numFmtId="0" fontId="5" fillId="8" borderId="0" xfId="0" applyFont="1" applyFill="1" applyAlignment="1"/>
    <xf numFmtId="0" fontId="5" fillId="8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186" fontId="0" fillId="0" borderId="0" xfId="0" applyNumberFormat="1" applyAlignmen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9" defaultPivotStyle="PivotStyleLight16"/>
  <colors>
    <mruColors>
      <color rgb="FFCCFFCC"/>
      <color rgb="FF00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54"/>
  <sheetViews>
    <sheetView zoomScale="110" zoomScaleNormal="110" workbookViewId="0">
      <selection activeCell="Y14" sqref="Y14"/>
    </sheetView>
  </sheetViews>
  <sheetFormatPr defaultRowHeight="16.75"/>
  <cols>
    <col min="1" max="1" width="3.3828125" customWidth="1"/>
    <col min="2" max="2" width="20.765625" customWidth="1"/>
    <col min="3" max="3" width="20.69140625" customWidth="1"/>
    <col min="4" max="4" width="17" customWidth="1"/>
    <col min="5" max="5" width="18.84375" customWidth="1"/>
    <col min="6" max="6" width="17.69140625" customWidth="1"/>
    <col min="7" max="7" width="3.69140625" customWidth="1"/>
    <col min="8" max="8" width="17.3828125" customWidth="1"/>
    <col min="9" max="9" width="22.07421875" customWidth="1"/>
    <col min="10" max="10" width="20.84375" customWidth="1"/>
    <col min="11" max="11" width="16.3828125" customWidth="1"/>
    <col min="12" max="12" width="18.3828125" customWidth="1"/>
    <col min="13" max="13" width="11.4609375" customWidth="1"/>
    <col min="14" max="14" width="15.4609375" customWidth="1"/>
    <col min="15" max="15" width="14.53515625" customWidth="1"/>
    <col min="16" max="16" width="15.69140625" customWidth="1"/>
    <col min="17" max="17" width="13.4609375" customWidth="1"/>
    <col min="18" max="18" width="14.53515625" customWidth="1"/>
    <col min="19" max="19" width="15.23046875" customWidth="1"/>
    <col min="20" max="20" width="11.23046875" customWidth="1"/>
    <col min="21" max="21" width="16.69140625" customWidth="1"/>
    <col min="22" max="22" width="17.61328125" customWidth="1"/>
    <col min="23" max="23" width="22.3046875" customWidth="1"/>
    <col min="24" max="24" width="13.07421875" customWidth="1"/>
    <col min="25" max="25" width="12.53515625" customWidth="1"/>
    <col min="26" max="26" width="12.84375" customWidth="1"/>
    <col min="27" max="27" width="14.84375" customWidth="1"/>
    <col min="28" max="28" width="24.3046875" customWidth="1"/>
    <col min="29" max="29" width="19.53515625" customWidth="1"/>
    <col min="30" max="30" width="13.3046875" customWidth="1"/>
    <col min="31" max="31" width="14.4609375" customWidth="1"/>
  </cols>
  <sheetData>
    <row r="1" spans="2:25" ht="17.149999999999999" thickBot="1">
      <c r="B1" s="63" t="s">
        <v>0</v>
      </c>
      <c r="C1" s="64">
        <v>44377</v>
      </c>
      <c r="D1" s="38"/>
      <c r="E1" s="38"/>
      <c r="F1" s="38"/>
    </row>
    <row r="2" spans="2:25" ht="17.149999999999999" thickBot="1">
      <c r="B2" s="2" t="s">
        <v>1</v>
      </c>
      <c r="C2" s="65" t="b">
        <f>qlSettingsSetEvaluationDate(C1)</f>
        <v>1</v>
      </c>
      <c r="D2" s="38"/>
      <c r="E2" s="66" t="s">
        <v>2</v>
      </c>
      <c r="F2" s="67" t="s">
        <v>3</v>
      </c>
      <c r="H2" s="1"/>
      <c r="I2" s="2" t="s">
        <v>38</v>
      </c>
      <c r="J2" s="3" t="str">
        <f>qlDiscountCurve(J3,B7:B10,D7:D10,J6,J7,J8,J9)</f>
        <v>USDDFCurve#0000</v>
      </c>
      <c r="N2" s="83" t="s">
        <v>62</v>
      </c>
      <c r="O2" s="83" t="s">
        <v>52</v>
      </c>
      <c r="P2" s="84" t="s">
        <v>53</v>
      </c>
      <c r="Q2" s="84" t="s">
        <v>54</v>
      </c>
      <c r="R2" s="84" t="s">
        <v>55</v>
      </c>
      <c r="S2" s="85" t="s">
        <v>56</v>
      </c>
      <c r="U2" s="16"/>
      <c r="V2" s="2" t="s">
        <v>78</v>
      </c>
      <c r="W2" s="3" t="str">
        <f>qlInterpolation(W3,W4,X3:X7,Y3:Y7,W7,W8,W9)</f>
        <v>6MLNInterpol#0000</v>
      </c>
      <c r="X2" s="131" t="s">
        <v>79</v>
      </c>
      <c r="Y2" s="11" t="s">
        <v>80</v>
      </c>
    </row>
    <row r="3" spans="2:25" ht="17.149999999999999" thickBot="1">
      <c r="B3" s="38"/>
      <c r="C3" s="38"/>
      <c r="D3" s="38"/>
      <c r="E3" s="68" t="s">
        <v>4</v>
      </c>
      <c r="F3" s="69">
        <v>27.890999999999998</v>
      </c>
      <c r="H3" s="4" t="s">
        <v>11</v>
      </c>
      <c r="I3" s="32" t="s">
        <v>12</v>
      </c>
      <c r="J3" s="34" t="s">
        <v>39</v>
      </c>
      <c r="N3" s="86" t="s">
        <v>57</v>
      </c>
      <c r="O3" s="78">
        <v>5.1900000000000002E-2</v>
      </c>
      <c r="P3" s="79">
        <v>5.57E-2</v>
      </c>
      <c r="Q3" s="79">
        <v>6.2649999999999997E-2</v>
      </c>
      <c r="R3" s="79">
        <v>6.7500000000000004E-2</v>
      </c>
      <c r="S3" s="80">
        <v>6.7510000000000001E-2</v>
      </c>
      <c r="U3" s="4" t="s">
        <v>81</v>
      </c>
      <c r="V3" s="114" t="s">
        <v>82</v>
      </c>
      <c r="W3" s="34" t="s">
        <v>95</v>
      </c>
      <c r="X3" s="135">
        <f>O24</f>
        <v>27.251500713661841</v>
      </c>
      <c r="Y3" s="133">
        <f>O25</f>
        <v>6.2324999999999998E-2</v>
      </c>
    </row>
    <row r="4" spans="2:25" ht="17.149999999999999" thickBot="1">
      <c r="E4" s="39"/>
      <c r="F4" s="40"/>
      <c r="H4" s="5" t="s">
        <v>13</v>
      </c>
      <c r="I4" s="15" t="s">
        <v>14</v>
      </c>
      <c r="J4" s="35" t="s">
        <v>40</v>
      </c>
      <c r="N4" s="86" t="s">
        <v>58</v>
      </c>
      <c r="O4" s="81">
        <v>1.8E-3</v>
      </c>
      <c r="P4" s="74">
        <v>2.33E-3</v>
      </c>
      <c r="Q4" s="74">
        <v>3.0000000000000001E-3</v>
      </c>
      <c r="R4" s="74">
        <v>3.0000000000000001E-3</v>
      </c>
      <c r="S4" s="75">
        <v>1.99E-3</v>
      </c>
      <c r="U4" s="5" t="s">
        <v>81</v>
      </c>
      <c r="V4" s="115" t="s">
        <v>83</v>
      </c>
      <c r="W4" s="36" t="s">
        <v>94</v>
      </c>
      <c r="X4" s="132">
        <f>P24</f>
        <v>27.277168849532138</v>
      </c>
      <c r="Y4" s="119">
        <f>P25</f>
        <v>5.4500000000000007E-2</v>
      </c>
    </row>
    <row r="5" spans="2:25" ht="17.149999999999999" thickBot="1">
      <c r="B5" s="41" t="s">
        <v>5</v>
      </c>
      <c r="C5" s="42"/>
      <c r="D5" s="42"/>
      <c r="E5" s="42"/>
      <c r="F5" s="42"/>
      <c r="H5" s="5" t="s">
        <v>15</v>
      </c>
      <c r="I5" s="15" t="s">
        <v>8</v>
      </c>
      <c r="J5" s="35" t="s">
        <v>41</v>
      </c>
      <c r="N5" s="86" t="s">
        <v>59</v>
      </c>
      <c r="O5" s="81">
        <v>3.5000000000000001E-3</v>
      </c>
      <c r="P5" s="74">
        <v>4.1700000000000001E-3</v>
      </c>
      <c r="Q5" s="74">
        <v>4.8500000000000001E-3</v>
      </c>
      <c r="R5" s="74">
        <v>5.0499999999999998E-3</v>
      </c>
      <c r="S5" s="75">
        <v>4.6100000000000004E-3</v>
      </c>
      <c r="U5" s="5" t="s">
        <v>84</v>
      </c>
      <c r="V5" s="115" t="s">
        <v>79</v>
      </c>
      <c r="W5" s="137"/>
      <c r="X5" s="132">
        <f>Q24</f>
        <v>27.872262555772902</v>
      </c>
      <c r="Y5" s="119">
        <f>Q25</f>
        <v>5.1900000000000002E-2</v>
      </c>
    </row>
    <row r="6" spans="2:25">
      <c r="B6" s="43" t="s">
        <v>6</v>
      </c>
      <c r="C6" s="44" t="s">
        <v>7</v>
      </c>
      <c r="D6" s="45" t="s">
        <v>8</v>
      </c>
      <c r="E6" s="42"/>
      <c r="F6" s="42"/>
      <c r="H6" s="5" t="s">
        <v>11</v>
      </c>
      <c r="I6" s="15" t="s">
        <v>16</v>
      </c>
      <c r="J6" s="36" t="s">
        <v>42</v>
      </c>
      <c r="N6" s="86" t="s">
        <v>60</v>
      </c>
      <c r="O6" s="81">
        <v>3.8500000000000001E-3</v>
      </c>
      <c r="P6" s="74">
        <v>5.1500000000000001E-3</v>
      </c>
      <c r="Q6" s="74">
        <v>6.2500000000000003E-3</v>
      </c>
      <c r="R6" s="74">
        <v>6.4999999999999997E-3</v>
      </c>
      <c r="S6" s="75">
        <v>7.4000000000000003E-3</v>
      </c>
      <c r="U6" s="5" t="s">
        <v>84</v>
      </c>
      <c r="V6" s="115" t="s">
        <v>80</v>
      </c>
      <c r="W6" s="137"/>
      <c r="X6" s="132">
        <f>R24</f>
        <v>28.570706768276004</v>
      </c>
      <c r="Y6" s="119">
        <f>R25</f>
        <v>5.6300000000000003E-2</v>
      </c>
    </row>
    <row r="7" spans="2:25" ht="17.149999999999999" thickBot="1">
      <c r="B7" s="46">
        <f>C1</f>
        <v>44377</v>
      </c>
      <c r="C7" s="47"/>
      <c r="D7" s="48">
        <v>1</v>
      </c>
      <c r="E7" s="42"/>
      <c r="F7" s="42"/>
      <c r="H7" s="5" t="s">
        <v>17</v>
      </c>
      <c r="I7" s="15" t="s">
        <v>18</v>
      </c>
      <c r="J7" s="36" t="b">
        <v>0</v>
      </c>
      <c r="N7" s="87" t="s">
        <v>61</v>
      </c>
      <c r="O7" s="82">
        <v>1.235E-2</v>
      </c>
      <c r="P7" s="76">
        <v>1.49E-2</v>
      </c>
      <c r="Q7" s="76">
        <v>1.695E-2</v>
      </c>
      <c r="R7" s="76">
        <v>1.7649999999999999E-2</v>
      </c>
      <c r="S7" s="77">
        <v>1.7680000000000001E-2</v>
      </c>
      <c r="U7" s="5" t="s">
        <v>85</v>
      </c>
      <c r="V7" s="115" t="s">
        <v>86</v>
      </c>
      <c r="W7" s="137" t="b">
        <v>0</v>
      </c>
      <c r="X7" s="136">
        <f>S24</f>
        <v>28.628711972609029</v>
      </c>
      <c r="Y7" s="134">
        <f>S25</f>
        <v>6.6174999999999998E-2</v>
      </c>
    </row>
    <row r="8" spans="2:25" ht="17.149999999999999" thickBot="1">
      <c r="B8" s="46">
        <v>44469</v>
      </c>
      <c r="C8" s="49">
        <v>1.4599999999999999E-3</v>
      </c>
      <c r="D8" s="50">
        <f>1/(1+C8*(B8-$C$1)/360)</f>
        <v>0.99962702804886794</v>
      </c>
      <c r="E8" s="42"/>
      <c r="F8" s="42"/>
      <c r="H8" s="5" t="s">
        <v>19</v>
      </c>
      <c r="I8" s="15" t="s">
        <v>20</v>
      </c>
      <c r="J8" s="36"/>
      <c r="U8" s="5" t="s">
        <v>87</v>
      </c>
      <c r="V8" s="115" t="s">
        <v>88</v>
      </c>
      <c r="W8" s="137"/>
      <c r="X8" s="123"/>
      <c r="Y8" s="123"/>
    </row>
    <row r="9" spans="2:25" ht="17.149999999999999" thickBot="1">
      <c r="B9" s="46">
        <v>44560</v>
      </c>
      <c r="C9" s="51">
        <v>2.0400000000000001E-3</v>
      </c>
      <c r="D9" s="50">
        <f>1/(1+C9*(B9-$C$1)/360)</f>
        <v>0.99896407425499756</v>
      </c>
      <c r="E9" s="42"/>
      <c r="F9" s="42"/>
      <c r="H9" s="6" t="s">
        <v>17</v>
      </c>
      <c r="I9" s="17" t="s">
        <v>21</v>
      </c>
      <c r="J9" s="37" t="b">
        <v>1</v>
      </c>
      <c r="N9" s="83" t="s">
        <v>62</v>
      </c>
      <c r="O9" s="89" t="s">
        <v>52</v>
      </c>
      <c r="P9" s="90" t="s">
        <v>53</v>
      </c>
      <c r="Q9" s="90" t="s">
        <v>54</v>
      </c>
      <c r="R9" s="90" t="s">
        <v>55</v>
      </c>
      <c r="S9" s="91" t="s">
        <v>56</v>
      </c>
      <c r="U9" s="6" t="s">
        <v>85</v>
      </c>
      <c r="V9" s="116" t="s">
        <v>89</v>
      </c>
      <c r="W9" s="138" t="b">
        <v>1</v>
      </c>
      <c r="X9" s="123"/>
      <c r="Y9" s="123"/>
    </row>
    <row r="10" spans="2:25" ht="17.149999999999999" thickBot="1">
      <c r="B10" s="52">
        <v>44742</v>
      </c>
      <c r="C10" s="53">
        <v>2.66E-3</v>
      </c>
      <c r="D10" s="54">
        <f>1/(1+C10*(B10-$C$1)/360)</f>
        <v>0.99731030950140298</v>
      </c>
      <c r="E10" s="42"/>
      <c r="F10" s="42"/>
      <c r="H10" s="1"/>
      <c r="I10" s="38"/>
      <c r="J10" s="38"/>
      <c r="N10" s="86" t="s">
        <v>57</v>
      </c>
      <c r="O10" s="78">
        <v>5.1900000000000002E-2</v>
      </c>
      <c r="P10" s="79">
        <v>5.57E-2</v>
      </c>
      <c r="Q10" s="79">
        <v>6.2649999999999997E-2</v>
      </c>
      <c r="R10" s="79">
        <v>6.7500000000000004E-2</v>
      </c>
      <c r="S10" s="80">
        <v>6.7510000000000001E-2</v>
      </c>
      <c r="X10" s="123"/>
      <c r="Y10" s="123"/>
    </row>
    <row r="11" spans="2:25" ht="17.149999999999999" thickBot="1">
      <c r="B11" s="42"/>
      <c r="C11" s="42"/>
      <c r="D11" s="42"/>
      <c r="E11" s="42"/>
      <c r="F11" s="42"/>
      <c r="H11" s="33"/>
      <c r="I11" s="2" t="s">
        <v>38</v>
      </c>
      <c r="J11" s="3" t="str">
        <f>qlDiscountCurve(J12,B14:B17,E14:E17,J15,J16,J17,J18)</f>
        <v>TWDDFCurve#0000</v>
      </c>
      <c r="N11" s="86" t="s">
        <v>63</v>
      </c>
      <c r="O11" s="81">
        <f>O10+O5+O4/2</f>
        <v>5.6300000000000003E-2</v>
      </c>
      <c r="P11" s="74">
        <f>P10+P5+P4/2</f>
        <v>6.1034999999999999E-2</v>
      </c>
      <c r="Q11" s="74">
        <f>Q10+Q5+Q4/2</f>
        <v>6.9000000000000006E-2</v>
      </c>
      <c r="R11" s="74">
        <f>R10+R5+R4/2</f>
        <v>7.4050000000000005E-2</v>
      </c>
      <c r="S11" s="75">
        <f>S10+S5+S4/2</f>
        <v>7.3114999999999999E-2</v>
      </c>
    </row>
    <row r="12" spans="2:25" ht="17.149999999999999" thickBot="1">
      <c r="B12" s="41" t="s">
        <v>9</v>
      </c>
      <c r="C12" s="42"/>
      <c r="D12" s="42"/>
      <c r="E12" s="42"/>
      <c r="F12" s="42"/>
      <c r="H12" s="4" t="s">
        <v>11</v>
      </c>
      <c r="I12" s="32" t="s">
        <v>12</v>
      </c>
      <c r="J12" s="34" t="s">
        <v>22</v>
      </c>
      <c r="N12" s="86" t="s">
        <v>64</v>
      </c>
      <c r="O12" s="81">
        <f>O10+O5-O4/2</f>
        <v>5.4500000000000007E-2</v>
      </c>
      <c r="P12" s="74">
        <f>P10+P5-P4/2</f>
        <v>5.8705E-2</v>
      </c>
      <c r="Q12" s="74">
        <f>Q10+Q5-Q4/2</f>
        <v>6.6000000000000003E-2</v>
      </c>
      <c r="R12" s="74">
        <f>R10+R5-R4/2</f>
        <v>7.1050000000000002E-2</v>
      </c>
      <c r="S12" s="75">
        <f>S10+S5-S4/2</f>
        <v>7.1125000000000008E-2</v>
      </c>
      <c r="U12" s="16"/>
      <c r="V12" s="2" t="s">
        <v>90</v>
      </c>
      <c r="W12" s="117"/>
      <c r="X12" s="125" t="s">
        <v>91</v>
      </c>
      <c r="Y12" s="126" t="s">
        <v>92</v>
      </c>
    </row>
    <row r="13" spans="2:25">
      <c r="B13" s="43" t="s">
        <v>6</v>
      </c>
      <c r="C13" s="44" t="s">
        <v>3</v>
      </c>
      <c r="D13" s="55" t="s">
        <v>10</v>
      </c>
      <c r="E13" s="55" t="s">
        <v>8</v>
      </c>
      <c r="F13" s="45" t="s">
        <v>7</v>
      </c>
      <c r="H13" s="5" t="s">
        <v>13</v>
      </c>
      <c r="I13" s="15" t="s">
        <v>14</v>
      </c>
      <c r="J13" s="35" t="s">
        <v>43</v>
      </c>
      <c r="N13" s="86" t="s">
        <v>65</v>
      </c>
      <c r="O13" s="81">
        <f>O10+O7+O6/2</f>
        <v>6.6174999999999998E-2</v>
      </c>
      <c r="P13" s="74">
        <f>P10+P7+P6/2</f>
        <v>7.317499999999999E-2</v>
      </c>
      <c r="Q13" s="74">
        <f>Q10+Q7+Q6/2</f>
        <v>8.2725000000000007E-2</v>
      </c>
      <c r="R13" s="74">
        <f>R10+R7+R6/2</f>
        <v>8.8400000000000006E-2</v>
      </c>
      <c r="S13" s="75">
        <f>S10+S7+S6/2</f>
        <v>8.8889999999999997E-2</v>
      </c>
      <c r="U13" s="4" t="s">
        <v>81</v>
      </c>
      <c r="V13" s="114" t="s">
        <v>82</v>
      </c>
      <c r="W13" s="122" t="str">
        <f>W2</f>
        <v>6MLNInterpol#0000</v>
      </c>
      <c r="X13" s="127">
        <f>26.75</f>
        <v>26.75</v>
      </c>
      <c r="Y13" s="120">
        <f t="array" ref="Y13:Y21">qlInterpolationInterpolate(W13,X13:X21,W15,W16)</f>
        <v>0.21520883637336519</v>
      </c>
    </row>
    <row r="14" spans="2:25" ht="17.149999999999999" thickBot="1">
      <c r="B14" s="46">
        <f>C1</f>
        <v>44377</v>
      </c>
      <c r="C14" s="56">
        <f>F3</f>
        <v>27.890999999999998</v>
      </c>
      <c r="D14" s="57">
        <f>C14/$F$3</f>
        <v>1</v>
      </c>
      <c r="E14" s="57">
        <v>1</v>
      </c>
      <c r="F14" s="50"/>
      <c r="H14" s="5" t="s">
        <v>15</v>
      </c>
      <c r="I14" s="15" t="s">
        <v>8</v>
      </c>
      <c r="J14" s="35" t="s">
        <v>44</v>
      </c>
      <c r="N14" s="87" t="s">
        <v>66</v>
      </c>
      <c r="O14" s="82">
        <f>O10+O7-O6/2</f>
        <v>6.2324999999999998E-2</v>
      </c>
      <c r="P14" s="76">
        <f>P10+P7-P6/2</f>
        <v>6.8025000000000002E-2</v>
      </c>
      <c r="Q14" s="76">
        <f>Q10+Q7-Q6/2</f>
        <v>7.6475000000000001E-2</v>
      </c>
      <c r="R14" s="76">
        <f>R10+R7-R6/2</f>
        <v>8.1900000000000001E-2</v>
      </c>
      <c r="S14" s="77">
        <f>S10+S7-S6/2</f>
        <v>8.1490000000000007E-2</v>
      </c>
      <c r="U14" s="5" t="s">
        <v>84</v>
      </c>
      <c r="V14" s="118" t="s">
        <v>91</v>
      </c>
      <c r="W14" s="123"/>
      <c r="X14" s="128">
        <v>27</v>
      </c>
      <c r="Y14" s="121">
        <v>0.13899566647723324</v>
      </c>
    </row>
    <row r="15" spans="2:25" ht="17.149999999999999" thickBot="1">
      <c r="B15" s="46">
        <v>44469</v>
      </c>
      <c r="C15" s="58">
        <v>27.87</v>
      </c>
      <c r="D15" s="57">
        <f>C15/$F$3</f>
        <v>0.99924706894697224</v>
      </c>
      <c r="E15" s="57">
        <f>D8/$D$16</f>
        <v>1.0009908246620103</v>
      </c>
      <c r="F15" s="59">
        <f>(1/E15-1)*(365/(B15-$C$1))</f>
        <v>-3.9270980825626038E-3</v>
      </c>
      <c r="H15" s="5" t="s">
        <v>11</v>
      </c>
      <c r="I15" s="15" t="s">
        <v>16</v>
      </c>
      <c r="J15" s="36" t="s">
        <v>23</v>
      </c>
      <c r="U15" s="5" t="s">
        <v>85</v>
      </c>
      <c r="V15" s="115" t="s">
        <v>93</v>
      </c>
      <c r="W15" s="123" t="b">
        <v>1</v>
      </c>
      <c r="X15" s="128">
        <v>27.25</v>
      </c>
      <c r="Y15" s="121">
        <v>6.2782496581101271E-2</v>
      </c>
    </row>
    <row r="16" spans="2:25" ht="17.149999999999999" thickBot="1">
      <c r="B16" s="46">
        <v>44560</v>
      </c>
      <c r="C16" s="58">
        <v>27.853000000000002</v>
      </c>
      <c r="D16" s="57">
        <f>C16/$F$3</f>
        <v>0.99863755333261639</v>
      </c>
      <c r="E16" s="57">
        <f>D9/$D$16</f>
        <v>1.0003269663966587</v>
      </c>
      <c r="F16" s="59">
        <f>(1/E16-1)*(365/(B16-$C$1))</f>
        <v>-6.5193293153492193E-4</v>
      </c>
      <c r="H16" s="5" t="s">
        <v>17</v>
      </c>
      <c r="I16" s="15" t="s">
        <v>18</v>
      </c>
      <c r="J16" s="36" t="b">
        <v>0</v>
      </c>
      <c r="N16" s="83" t="s">
        <v>51</v>
      </c>
      <c r="O16" s="89" t="s">
        <v>52</v>
      </c>
      <c r="P16" s="91" t="s">
        <v>53</v>
      </c>
      <c r="Q16" s="83" t="s">
        <v>67</v>
      </c>
      <c r="R16" s="85" t="s">
        <v>68</v>
      </c>
      <c r="S16" s="74"/>
      <c r="U16" s="6" t="s">
        <v>87</v>
      </c>
      <c r="V16" s="116" t="s">
        <v>88</v>
      </c>
      <c r="W16" s="124"/>
      <c r="X16" s="128">
        <v>27.5</v>
      </c>
      <c r="Y16" s="121">
        <v>5.3526437374247685E-2</v>
      </c>
    </row>
    <row r="17" spans="2:25" ht="17.149999999999999" thickBot="1">
      <c r="B17" s="52">
        <v>44742</v>
      </c>
      <c r="C17" s="60">
        <v>27.795000000000002</v>
      </c>
      <c r="D17" s="61">
        <f>C17/$F$3</f>
        <v>0.99655802947187277</v>
      </c>
      <c r="E17" s="61">
        <f>D10/$D$16</f>
        <v>0.99867094540277979</v>
      </c>
      <c r="F17" s="62">
        <f>(1/E17-1)*(365/(B17-$C$1))</f>
        <v>1.330823334090514E-3</v>
      </c>
      <c r="H17" s="5" t="s">
        <v>19</v>
      </c>
      <c r="I17" s="15" t="s">
        <v>20</v>
      </c>
      <c r="J17" s="36"/>
      <c r="N17" s="86" t="s">
        <v>57</v>
      </c>
      <c r="O17" s="88">
        <f>$F$3*EXP((F16-F24+0.5*O3*O3)*0.5)</f>
        <v>27.872262555772902</v>
      </c>
      <c r="P17" s="94">
        <f>$F$3*EXP((F17-F25+0.5*P3*P3)*1)</f>
        <v>27.897294281752171</v>
      </c>
      <c r="Q17" s="98"/>
      <c r="R17" s="99"/>
      <c r="X17" s="129">
        <v>27.75</v>
      </c>
      <c r="Y17" s="110">
        <v>5.2434172419697778E-2</v>
      </c>
    </row>
    <row r="18" spans="2:25" ht="17.149999999999999" thickBot="1">
      <c r="H18" s="6" t="s">
        <v>17</v>
      </c>
      <c r="I18" s="17" t="s">
        <v>21</v>
      </c>
      <c r="J18" s="37" t="b">
        <v>1</v>
      </c>
      <c r="N18" s="86" t="s">
        <v>63</v>
      </c>
      <c r="O18" s="92">
        <f>$F$3*EXP(Q18*O11*SQRT(0.5)+(F16-F24+O11*O11)*0.5)</f>
        <v>28.570706768276004</v>
      </c>
      <c r="P18" s="95">
        <f>$F$3*EXP(R18*P11*SQRT(1)+(G17-G25+P11*P11)*1)</f>
        <v>29.037469872301532</v>
      </c>
      <c r="Q18" s="100">
        <f>NORMSDIST(0.25*EXP($F$24*0.5))</f>
        <v>0.5988049220710645</v>
      </c>
      <c r="R18" s="101">
        <f>NORMSDIST(0.25*EXP($F$25*1))</f>
        <v>0.59896343384381479</v>
      </c>
      <c r="X18" s="129">
        <v>28</v>
      </c>
      <c r="Y18" s="110">
        <v>5.2704709588164471E-2</v>
      </c>
    </row>
    <row r="19" spans="2:25">
      <c r="N19" s="86" t="s">
        <v>64</v>
      </c>
      <c r="O19" s="92">
        <f>$F$3*EXP(-Q19*O12*SQRT(0.5)+(F17-F25+O12*O12)*0.5)</f>
        <v>27.277168849532138</v>
      </c>
      <c r="P19" s="95">
        <f>$F$3*EXP(-R19*P12*SQRT(1)+(G18-G26+P12*P12)*1)</f>
        <v>27.020293229412484</v>
      </c>
      <c r="Q19" s="100">
        <f>NORMSDIST(0.25*EXP($F$24*0.5))</f>
        <v>0.5988049220710645</v>
      </c>
      <c r="R19" s="101">
        <f>NORMSDIST(0.25*EXP($F$25*1))</f>
        <v>0.59896343384381479</v>
      </c>
      <c r="X19" s="129">
        <v>28.25</v>
      </c>
      <c r="Y19" s="110">
        <v>5.4279638523516076E-2</v>
      </c>
    </row>
    <row r="20" spans="2:25" ht="17.149999999999999" thickBot="1">
      <c r="N20" s="86" t="s">
        <v>65</v>
      </c>
      <c r="O20" s="92">
        <f>$F$3*EXP(Q20*O13*SQRT(0.5)+(F16-F24+O13*O13)*0.5)</f>
        <v>28.628711972609029</v>
      </c>
      <c r="P20" s="95">
        <f>$F$3*EXP(R20*P13*SQRT(1)+(F17-F25+P13*P13)*1)</f>
        <v>29.132158551201965</v>
      </c>
      <c r="Q20" s="100">
        <f>NORMSDIST(0.1*EXP($F$24*0.5))</f>
        <v>0.53986832588627387</v>
      </c>
      <c r="R20" s="101">
        <f>NORMSDIST(0.1*EXP($F$25*1))</f>
        <v>0.53993342330044292</v>
      </c>
      <c r="X20" s="129">
        <v>28.5</v>
      </c>
      <c r="Y20" s="110">
        <v>5.5854567458867681E-2</v>
      </c>
    </row>
    <row r="21" spans="2:25" ht="17.149999999999999" thickBot="1">
      <c r="B21" s="18" t="s">
        <v>34</v>
      </c>
      <c r="C21" s="8" t="s">
        <v>24</v>
      </c>
      <c r="D21" s="22" t="s">
        <v>25</v>
      </c>
      <c r="E21" s="10" t="s">
        <v>26</v>
      </c>
      <c r="F21" s="11" t="s">
        <v>27</v>
      </c>
      <c r="H21" s="18" t="s">
        <v>49</v>
      </c>
      <c r="I21" s="8" t="s">
        <v>24</v>
      </c>
      <c r="J21" s="22" t="s">
        <v>25</v>
      </c>
      <c r="K21" s="10" t="s">
        <v>26</v>
      </c>
      <c r="L21" s="11" t="s">
        <v>27</v>
      </c>
      <c r="N21" s="87" t="s">
        <v>69</v>
      </c>
      <c r="O21" s="96">
        <f>$F$3*EXP(-Q21*O14*SQRT(0.5)+(F16-F24+O14*O14)*0.5)</f>
        <v>27.251500713661841</v>
      </c>
      <c r="P21" s="97">
        <f>$F$3*EXP(-R21*P14*SQRT(1)+(F17-F25+P14*P14)*1)</f>
        <v>26.974093070877711</v>
      </c>
      <c r="Q21" s="102">
        <f>NORMSDIST(0.1*EXP($F$24*0.5))</f>
        <v>0.53986832588627387</v>
      </c>
      <c r="R21" s="103">
        <f>NORMSDIST(0.1*EXP($F$25*1))</f>
        <v>0.53993342330044292</v>
      </c>
      <c r="X21" s="130">
        <v>28.75</v>
      </c>
      <c r="Y21" s="113">
        <v>8.6823479464176748E-2</v>
      </c>
    </row>
    <row r="22" spans="2:25" ht="17.149999999999999" thickBot="1">
      <c r="B22" s="4" t="s">
        <v>28</v>
      </c>
      <c r="C22" s="12" t="str">
        <f>J2</f>
        <v>USDDFCurve#0000</v>
      </c>
      <c r="D22" s="26">
        <f>$C$1</f>
        <v>44377</v>
      </c>
      <c r="E22" s="19">
        <f t="array" ref="E22:E25">qlYieldTSDiscount(C22,D22:D25,C24,C25)</f>
        <v>1</v>
      </c>
      <c r="F22" s="29">
        <f t="array" ref="F22:F25">qlYieldTSZeroRate(C28,D22:D25,C30,C31,C32,C33,C34)</f>
        <v>1.459727696536763E-3</v>
      </c>
      <c r="H22" s="4" t="s">
        <v>28</v>
      </c>
      <c r="I22" s="12" t="str">
        <f>J11</f>
        <v>TWDDFCurve#0000</v>
      </c>
      <c r="J22" s="26">
        <f>$C$1</f>
        <v>44377</v>
      </c>
      <c r="K22" s="19">
        <f t="array" ref="K22:K25">qlYieldTSDiscount(I22,J22:J25,I24,I25)</f>
        <v>1</v>
      </c>
      <c r="L22" s="29">
        <f t="array" ref="L22:L25">qlYieldTSZeroRate(I28,J22:J25,I30,I31,I32,I33,I34)</f>
        <v>-3.9290429745682401E-3</v>
      </c>
    </row>
    <row r="23" spans="2:25" ht="17.149999999999999" thickBot="1">
      <c r="B23" s="5" t="s">
        <v>29</v>
      </c>
      <c r="C23" s="13"/>
      <c r="D23" s="27">
        <f>EDATE($C$1,3)</f>
        <v>44469</v>
      </c>
      <c r="E23" s="20">
        <v>0.99962702804886794</v>
      </c>
      <c r="F23" s="30">
        <v>1.4597276966199087E-3</v>
      </c>
      <c r="H23" s="5" t="s">
        <v>29</v>
      </c>
      <c r="I23" s="13"/>
      <c r="J23" s="27">
        <f>EDATE($C$1,3)</f>
        <v>44469</v>
      </c>
      <c r="K23" s="20">
        <v>1.0009908246620103</v>
      </c>
      <c r="L23" s="30">
        <v>-3.9290429731352839E-3</v>
      </c>
      <c r="N23" s="38"/>
      <c r="O23" s="89" t="s">
        <v>70</v>
      </c>
      <c r="P23" s="90" t="s">
        <v>71</v>
      </c>
      <c r="Q23" s="90" t="s">
        <v>57</v>
      </c>
      <c r="R23" s="90" t="s">
        <v>72</v>
      </c>
      <c r="S23" s="91" t="s">
        <v>73</v>
      </c>
    </row>
    <row r="24" spans="2:25" ht="17.149999999999999" thickBot="1">
      <c r="B24" s="5" t="s">
        <v>30</v>
      </c>
      <c r="C24" s="13" t="b">
        <v>1</v>
      </c>
      <c r="D24" s="27">
        <f>EDATE($C$1,6)</f>
        <v>44560</v>
      </c>
      <c r="E24" s="20">
        <v>0.99896407425499756</v>
      </c>
      <c r="F24" s="30">
        <v>2.0389429906825718E-3</v>
      </c>
      <c r="H24" s="5" t="s">
        <v>30</v>
      </c>
      <c r="I24" s="13" t="b">
        <v>1</v>
      </c>
      <c r="J24" s="27">
        <f>EDATE($C$1,6)</f>
        <v>44560</v>
      </c>
      <c r="K24" s="20">
        <v>1.0003269663966587</v>
      </c>
      <c r="L24" s="30">
        <v>-6.5203950000152909E-4</v>
      </c>
      <c r="N24" s="104" t="s">
        <v>74</v>
      </c>
      <c r="O24" s="88">
        <f>O21</f>
        <v>27.251500713661841</v>
      </c>
      <c r="P24" s="105">
        <f>O19</f>
        <v>27.277168849532138</v>
      </c>
      <c r="Q24" s="105">
        <f>O17</f>
        <v>27.872262555772902</v>
      </c>
      <c r="R24" s="105">
        <f>O18</f>
        <v>28.570706768276004</v>
      </c>
      <c r="S24" s="94">
        <f>O20</f>
        <v>28.628711972609029</v>
      </c>
      <c r="U24" s="16"/>
      <c r="V24" s="2" t="s">
        <v>78</v>
      </c>
      <c r="W24" s="3" t="str">
        <f>qlInterpolation(W25,W26,X25:X29,Y25:Y29,W29,W30,W31)</f>
        <v>1YLNInterpol#0000</v>
      </c>
      <c r="X24" s="131" t="s">
        <v>79</v>
      </c>
      <c r="Y24" s="11" t="s">
        <v>80</v>
      </c>
    </row>
    <row r="25" spans="2:25" ht="17.149999999999999" thickBot="1">
      <c r="B25" s="6" t="s">
        <v>31</v>
      </c>
      <c r="C25" s="14"/>
      <c r="D25" s="28">
        <f>EDATE($C$1,12)</f>
        <v>44742</v>
      </c>
      <c r="E25" s="21">
        <v>0.99731030950140298</v>
      </c>
      <c r="F25" s="31">
        <v>2.6564195000504578E-3</v>
      </c>
      <c r="H25" s="6" t="s">
        <v>31</v>
      </c>
      <c r="I25" s="14"/>
      <c r="J25" s="28">
        <f>EDATE($C$1,12)</f>
        <v>44742</v>
      </c>
      <c r="K25" s="21">
        <v>0.99867094540277979</v>
      </c>
      <c r="L25" s="31">
        <v>1.3299385736035081E-3</v>
      </c>
      <c r="N25" s="106" t="s">
        <v>75</v>
      </c>
      <c r="O25" s="108">
        <f>O14</f>
        <v>6.2324999999999998E-2</v>
      </c>
      <c r="P25" s="109">
        <f>O12</f>
        <v>5.4500000000000007E-2</v>
      </c>
      <c r="Q25" s="109">
        <f>O10</f>
        <v>5.1900000000000002E-2</v>
      </c>
      <c r="R25" s="109">
        <f>O11</f>
        <v>5.6300000000000003E-2</v>
      </c>
      <c r="S25" s="110">
        <f>O13</f>
        <v>6.6174999999999998E-2</v>
      </c>
      <c r="U25" s="4" t="s">
        <v>81</v>
      </c>
      <c r="V25" s="114" t="s">
        <v>82</v>
      </c>
      <c r="W25" s="34" t="s">
        <v>96</v>
      </c>
      <c r="X25" s="135">
        <f>O26</f>
        <v>26.974093070877711</v>
      </c>
      <c r="Y25" s="133">
        <f>O27</f>
        <v>6.8025000000000002E-2</v>
      </c>
    </row>
    <row r="26" spans="2:25" ht="17.149999999999999" thickBot="1">
      <c r="B26" s="7"/>
      <c r="C26" s="7"/>
      <c r="D26" s="23"/>
      <c r="E26" s="24"/>
      <c r="F26" s="25"/>
      <c r="H26" s="7"/>
      <c r="I26" s="7"/>
      <c r="J26" s="23"/>
      <c r="K26" s="24"/>
      <c r="L26" s="25"/>
      <c r="N26" s="106" t="s">
        <v>76</v>
      </c>
      <c r="O26" s="92">
        <f>P21</f>
        <v>26.974093070877711</v>
      </c>
      <c r="P26" s="93">
        <f>P19</f>
        <v>27.020293229412484</v>
      </c>
      <c r="Q26" s="93">
        <f>P17</f>
        <v>27.897294281752171</v>
      </c>
      <c r="R26" s="93">
        <f>P18</f>
        <v>29.037469872301532</v>
      </c>
      <c r="S26" s="95">
        <f>P20</f>
        <v>29.132158551201965</v>
      </c>
      <c r="U26" s="5" t="s">
        <v>81</v>
      </c>
      <c r="V26" s="115" t="s">
        <v>83</v>
      </c>
      <c r="W26" s="36" t="s">
        <v>94</v>
      </c>
      <c r="X26" s="132">
        <f>P26</f>
        <v>27.020293229412484</v>
      </c>
      <c r="Y26" s="119">
        <f>P27</f>
        <v>5.8705E-2</v>
      </c>
    </row>
    <row r="27" spans="2:25" ht="17.149999999999999" thickBot="1">
      <c r="B27" s="7"/>
      <c r="C27" s="9" t="s">
        <v>32</v>
      </c>
      <c r="D27" s="23"/>
      <c r="E27" s="24"/>
      <c r="F27" s="25"/>
      <c r="H27" s="7"/>
      <c r="I27" s="9" t="s">
        <v>32</v>
      </c>
      <c r="J27" s="23"/>
      <c r="K27" s="24"/>
      <c r="L27" s="25"/>
      <c r="N27" s="107" t="s">
        <v>77</v>
      </c>
      <c r="O27" s="111">
        <f>P14</f>
        <v>6.8025000000000002E-2</v>
      </c>
      <c r="P27" s="112">
        <f>P12</f>
        <v>5.8705E-2</v>
      </c>
      <c r="Q27" s="112">
        <f>P10</f>
        <v>5.57E-2</v>
      </c>
      <c r="R27" s="112">
        <f>P11</f>
        <v>6.1034999999999999E-2</v>
      </c>
      <c r="S27" s="113">
        <f>P13</f>
        <v>7.317499999999999E-2</v>
      </c>
      <c r="U27" s="5" t="s">
        <v>84</v>
      </c>
      <c r="V27" s="115" t="s">
        <v>79</v>
      </c>
      <c r="W27" s="137"/>
      <c r="X27" s="132">
        <f>Q26</f>
        <v>27.897294281752171</v>
      </c>
      <c r="Y27" s="119">
        <f>Q27</f>
        <v>5.57E-2</v>
      </c>
    </row>
    <row r="28" spans="2:25">
      <c r="B28" s="4" t="s">
        <v>28</v>
      </c>
      <c r="C28" s="32" t="str">
        <f>J2</f>
        <v>USDDFCurve#0000</v>
      </c>
      <c r="D28" s="23"/>
      <c r="E28" s="24"/>
      <c r="F28" s="25"/>
      <c r="H28" s="4" t="s">
        <v>28</v>
      </c>
      <c r="I28" s="32" t="str">
        <f>J11</f>
        <v>TWDDFCurve#0000</v>
      </c>
      <c r="J28" s="23"/>
      <c r="K28" s="24"/>
      <c r="L28" s="25"/>
      <c r="U28" s="5" t="s">
        <v>84</v>
      </c>
      <c r="V28" s="115" t="s">
        <v>80</v>
      </c>
      <c r="W28" s="137"/>
      <c r="X28" s="132">
        <f>R26</f>
        <v>29.037469872301532</v>
      </c>
      <c r="Y28" s="119">
        <f>R27</f>
        <v>6.1034999999999999E-2</v>
      </c>
    </row>
    <row r="29" spans="2:25" ht="17.149999999999999" thickBot="1">
      <c r="B29" s="5" t="s">
        <v>29</v>
      </c>
      <c r="C29" s="15"/>
      <c r="D29" s="23"/>
      <c r="E29" s="24"/>
      <c r="F29" s="25"/>
      <c r="H29" s="5" t="s">
        <v>29</v>
      </c>
      <c r="I29" s="15"/>
      <c r="J29" s="23"/>
      <c r="K29" s="24"/>
      <c r="L29" s="25"/>
      <c r="U29" s="5" t="s">
        <v>85</v>
      </c>
      <c r="V29" s="115" t="s">
        <v>86</v>
      </c>
      <c r="W29" s="137" t="b">
        <v>0</v>
      </c>
      <c r="X29" s="136">
        <f>S26</f>
        <v>29.132158551201965</v>
      </c>
      <c r="Y29" s="134">
        <f>S27</f>
        <v>7.317499999999999E-2</v>
      </c>
    </row>
    <row r="30" spans="2:25" ht="17.149999999999999" thickBot="1">
      <c r="B30" s="5" t="s">
        <v>28</v>
      </c>
      <c r="C30" s="15" t="s">
        <v>35</v>
      </c>
      <c r="D30" s="23"/>
      <c r="E30" s="24"/>
      <c r="F30" s="25"/>
      <c r="H30" s="5" t="s">
        <v>28</v>
      </c>
      <c r="I30" s="15" t="s">
        <v>33</v>
      </c>
      <c r="J30" s="23"/>
      <c r="K30" s="24"/>
      <c r="L30" s="25"/>
      <c r="N30" s="141" t="s">
        <v>97</v>
      </c>
      <c r="O30" s="142" t="s">
        <v>98</v>
      </c>
      <c r="P30" s="143" t="s">
        <v>99</v>
      </c>
      <c r="Q30" s="144" t="s">
        <v>100</v>
      </c>
      <c r="U30" s="5" t="s">
        <v>87</v>
      </c>
      <c r="V30" s="115" t="s">
        <v>88</v>
      </c>
      <c r="W30" s="137"/>
      <c r="X30" s="132"/>
      <c r="Y30" s="123"/>
    </row>
    <row r="31" spans="2:25" ht="17.149999999999999" thickBot="1">
      <c r="B31" s="5" t="s">
        <v>28</v>
      </c>
      <c r="C31" s="15" t="s">
        <v>37</v>
      </c>
      <c r="D31" s="23"/>
      <c r="E31" s="24"/>
      <c r="F31" s="25"/>
      <c r="H31" s="5" t="s">
        <v>28</v>
      </c>
      <c r="I31" s="15" t="s">
        <v>37</v>
      </c>
      <c r="J31" s="23"/>
      <c r="K31" s="24"/>
      <c r="L31" s="25"/>
      <c r="N31" s="145">
        <f>C1</f>
        <v>44377</v>
      </c>
      <c r="O31" s="146">
        <f t="shared" ref="O31:O39" si="0">X13</f>
        <v>26.75</v>
      </c>
      <c r="P31" s="149">
        <f t="shared" ref="P31:P39" si="1">Y13</f>
        <v>0.21520883637336519</v>
      </c>
      <c r="Q31" s="150">
        <f t="shared" ref="Q31:Q39" si="2">Y35</f>
        <v>0.11323149899952775</v>
      </c>
      <c r="U31" s="6" t="s">
        <v>85</v>
      </c>
      <c r="V31" s="116" t="s">
        <v>89</v>
      </c>
      <c r="W31" s="138" t="b">
        <v>1</v>
      </c>
      <c r="X31" s="132"/>
      <c r="Y31" s="123"/>
    </row>
    <row r="32" spans="2:25">
      <c r="B32" s="5" t="s">
        <v>28</v>
      </c>
      <c r="C32" s="15" t="s">
        <v>36</v>
      </c>
      <c r="D32" s="23"/>
      <c r="E32" s="24"/>
      <c r="F32" s="25"/>
      <c r="H32" s="5" t="s">
        <v>28</v>
      </c>
      <c r="I32" s="15" t="s">
        <v>36</v>
      </c>
      <c r="J32" s="23"/>
      <c r="K32" s="24"/>
      <c r="L32" s="25"/>
      <c r="N32" s="139"/>
      <c r="O32" s="147">
        <f t="shared" si="0"/>
        <v>27</v>
      </c>
      <c r="P32" s="151">
        <f t="shared" si="1"/>
        <v>0.13899566647723324</v>
      </c>
      <c r="Q32" s="152">
        <f t="shared" si="2"/>
        <v>6.2798771625956609E-2</v>
      </c>
      <c r="X32" s="132"/>
      <c r="Y32" s="123"/>
    </row>
    <row r="33" spans="2:25" ht="17.149999999999999" thickBot="1">
      <c r="B33" s="5" t="s">
        <v>30</v>
      </c>
      <c r="C33" s="15" t="b">
        <v>1</v>
      </c>
      <c r="D33" s="16"/>
      <c r="E33" s="16"/>
      <c r="F33" s="16"/>
      <c r="H33" s="5" t="s">
        <v>30</v>
      </c>
      <c r="I33" s="15" t="b">
        <v>1</v>
      </c>
      <c r="J33" s="16"/>
      <c r="K33" s="16"/>
      <c r="L33" s="16"/>
      <c r="N33" s="139"/>
      <c r="O33" s="147">
        <f t="shared" si="0"/>
        <v>27.25</v>
      </c>
      <c r="P33" s="151">
        <f t="shared" si="1"/>
        <v>6.2782496581101271E-2</v>
      </c>
      <c r="Q33" s="152">
        <f t="shared" si="2"/>
        <v>5.7917921302917522E-2</v>
      </c>
    </row>
    <row r="34" spans="2:25" ht="17.149999999999999" thickBot="1">
      <c r="B34" s="6" t="s">
        <v>31</v>
      </c>
      <c r="C34" s="17"/>
      <c r="D34" s="16"/>
      <c r="E34" s="16"/>
      <c r="F34" s="16"/>
      <c r="H34" s="6" t="s">
        <v>31</v>
      </c>
      <c r="I34" s="17"/>
      <c r="J34" s="16"/>
      <c r="K34" s="16"/>
      <c r="L34" s="16"/>
      <c r="N34" s="139"/>
      <c r="O34" s="147">
        <f t="shared" si="0"/>
        <v>27.5</v>
      </c>
      <c r="P34" s="151">
        <f t="shared" si="1"/>
        <v>5.3526437374247685E-2</v>
      </c>
      <c r="Q34" s="152">
        <f t="shared" si="2"/>
        <v>5.7061308875833432E-2</v>
      </c>
      <c r="U34" s="16"/>
      <c r="V34" s="2" t="s">
        <v>90</v>
      </c>
      <c r="W34" s="117"/>
      <c r="X34" s="125" t="s">
        <v>91</v>
      </c>
      <c r="Y34" s="126" t="s">
        <v>92</v>
      </c>
    </row>
    <row r="35" spans="2:25">
      <c r="N35" s="139"/>
      <c r="O35" s="147">
        <f t="shared" si="0"/>
        <v>27.75</v>
      </c>
      <c r="P35" s="151">
        <f t="shared" si="1"/>
        <v>5.2434172419697778E-2</v>
      </c>
      <c r="Q35" s="152">
        <f t="shared" si="2"/>
        <v>5.6204696448749342E-2</v>
      </c>
      <c r="U35" s="4" t="s">
        <v>81</v>
      </c>
      <c r="V35" s="114" t="s">
        <v>82</v>
      </c>
      <c r="W35" s="122" t="str">
        <f>W24</f>
        <v>1YLNInterpol#0000</v>
      </c>
      <c r="X35" s="127">
        <f>26.75</f>
        <v>26.75</v>
      </c>
      <c r="Y35" s="120">
        <f t="array" ref="Y35:Y43">qlInterpolationInterpolate(W35,X35:X43,W37,W38)</f>
        <v>0.11323149899952775</v>
      </c>
    </row>
    <row r="36" spans="2:25">
      <c r="N36" s="140"/>
      <c r="O36" s="147">
        <f t="shared" si="0"/>
        <v>28</v>
      </c>
      <c r="P36" s="151">
        <f t="shared" si="1"/>
        <v>5.2704709588164471E-2</v>
      </c>
      <c r="Q36" s="152">
        <f t="shared" si="2"/>
        <v>5.6180570722083399E-2</v>
      </c>
      <c r="U36" s="5" t="s">
        <v>84</v>
      </c>
      <c r="V36" s="118" t="s">
        <v>91</v>
      </c>
      <c r="W36" s="123"/>
      <c r="X36" s="128">
        <v>27</v>
      </c>
      <c r="Y36" s="121">
        <v>6.2798771625956609E-2</v>
      </c>
    </row>
    <row r="37" spans="2:25">
      <c r="N37" s="140"/>
      <c r="O37" s="147">
        <f t="shared" si="0"/>
        <v>28.25</v>
      </c>
      <c r="P37" s="151">
        <f t="shared" si="1"/>
        <v>5.4279638523516076E-2</v>
      </c>
      <c r="Q37" s="152">
        <f t="shared" si="2"/>
        <v>5.7350346685588603E-2</v>
      </c>
      <c r="U37" s="5" t="s">
        <v>85</v>
      </c>
      <c r="V37" s="115" t="s">
        <v>93</v>
      </c>
      <c r="W37" s="123" t="b">
        <v>1</v>
      </c>
      <c r="X37" s="128">
        <v>27.25</v>
      </c>
      <c r="Y37" s="121">
        <v>5.7917921302917522E-2</v>
      </c>
    </row>
    <row r="38" spans="2:25" ht="17.149999999999999" thickBot="1">
      <c r="N38" s="140"/>
      <c r="O38" s="147">
        <f t="shared" si="0"/>
        <v>28.5</v>
      </c>
      <c r="P38" s="151">
        <f t="shared" si="1"/>
        <v>5.5854567458867681E-2</v>
      </c>
      <c r="Q38" s="152">
        <f t="shared" si="2"/>
        <v>5.8520122649093814E-2</v>
      </c>
      <c r="U38" s="6" t="s">
        <v>87</v>
      </c>
      <c r="V38" s="116" t="s">
        <v>88</v>
      </c>
      <c r="W38" s="124"/>
      <c r="X38" s="128">
        <v>27.5</v>
      </c>
      <c r="Y38" s="121">
        <v>5.7061308875833432E-2</v>
      </c>
    </row>
    <row r="39" spans="2:25" ht="17.149999999999999" thickBot="1">
      <c r="N39" s="140"/>
      <c r="O39" s="148">
        <f t="shared" si="0"/>
        <v>28.75</v>
      </c>
      <c r="P39" s="153">
        <f t="shared" si="1"/>
        <v>8.6823479464176748E-2</v>
      </c>
      <c r="Q39" s="154">
        <f t="shared" si="2"/>
        <v>5.9689898612599025E-2</v>
      </c>
      <c r="X39" s="129">
        <v>27.75</v>
      </c>
      <c r="Y39" s="110">
        <v>5.6204696448749342E-2</v>
      </c>
    </row>
    <row r="40" spans="2:25">
      <c r="X40" s="129">
        <v>28</v>
      </c>
      <c r="Y40" s="110">
        <v>5.6180570722083399E-2</v>
      </c>
    </row>
    <row r="41" spans="2:25">
      <c r="X41" s="129">
        <v>28.25</v>
      </c>
      <c r="Y41" s="110">
        <v>5.7350346685588603E-2</v>
      </c>
    </row>
    <row r="42" spans="2:25">
      <c r="X42" s="129">
        <v>28.5</v>
      </c>
      <c r="Y42" s="110">
        <v>5.8520122649093814E-2</v>
      </c>
    </row>
    <row r="43" spans="2:25" ht="17.149999999999999" thickBot="1">
      <c r="X43" s="130">
        <v>28.75</v>
      </c>
      <c r="Y43" s="113">
        <v>5.9689898612599025E-2</v>
      </c>
    </row>
    <row r="54" spans="16:16">
      <c r="P54" t="str">
        <f>ohRangeRetrieveError(W24)</f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E3" sqref="E3"/>
    </sheetView>
  </sheetViews>
  <sheetFormatPr defaultRowHeight="16.75"/>
  <cols>
    <col min="1" max="1" width="15.3828125" customWidth="1"/>
    <col min="2" max="3" width="16.15234375" customWidth="1"/>
    <col min="4" max="4" width="16.61328125" customWidth="1"/>
    <col min="5" max="7" width="12.4609375" customWidth="1"/>
    <col min="8" max="10" width="14.69140625" customWidth="1"/>
    <col min="11" max="11" width="15.53515625" customWidth="1"/>
    <col min="12" max="12" width="17.53515625" customWidth="1"/>
  </cols>
  <sheetData>
    <row r="1" spans="1:12">
      <c r="A1" s="1" t="s">
        <v>45</v>
      </c>
      <c r="B1" s="1" t="s">
        <v>46</v>
      </c>
      <c r="C1" s="1" t="s">
        <v>101</v>
      </c>
      <c r="D1" s="1" t="s">
        <v>47</v>
      </c>
      <c r="E1" s="1" t="s">
        <v>48</v>
      </c>
      <c r="F1" s="1" t="s">
        <v>107</v>
      </c>
      <c r="G1" s="1" t="s">
        <v>105</v>
      </c>
      <c r="H1" s="1" t="s">
        <v>111</v>
      </c>
      <c r="I1" s="1" t="s">
        <v>112</v>
      </c>
      <c r="J1" s="1" t="s">
        <v>114</v>
      </c>
      <c r="K1" s="1" t="s">
        <v>116</v>
      </c>
      <c r="L1" s="1" t="s">
        <v>50</v>
      </c>
    </row>
    <row r="2" spans="1:12">
      <c r="A2" s="1" t="s">
        <v>102</v>
      </c>
      <c r="B2" s="70">
        <f>C2-2</f>
        <v>44335</v>
      </c>
      <c r="C2" s="70">
        <v>44337</v>
      </c>
      <c r="D2" s="70">
        <v>44460</v>
      </c>
      <c r="E2" s="1" t="s">
        <v>117</v>
      </c>
      <c r="F2" s="1" t="s">
        <v>108</v>
      </c>
      <c r="G2" s="1" t="s">
        <v>106</v>
      </c>
      <c r="H2" s="1" t="s">
        <v>110</v>
      </c>
      <c r="I2" s="1" t="s">
        <v>113</v>
      </c>
      <c r="J2" s="1" t="s">
        <v>115</v>
      </c>
      <c r="K2" s="72">
        <v>28</v>
      </c>
      <c r="L2" s="71">
        <v>1000000</v>
      </c>
    </row>
    <row r="3" spans="1:12">
      <c r="A3" s="1" t="s">
        <v>103</v>
      </c>
      <c r="B3" s="70">
        <f t="shared" ref="B3:B4" si="0">C3-2</f>
        <v>44360</v>
      </c>
      <c r="C3" s="70">
        <v>44362</v>
      </c>
      <c r="D3" s="70">
        <v>44545</v>
      </c>
      <c r="E3" s="1" t="s">
        <v>118</v>
      </c>
      <c r="F3" s="1" t="s">
        <v>108</v>
      </c>
      <c r="G3" s="1" t="s">
        <v>106</v>
      </c>
      <c r="H3" s="1" t="s">
        <v>110</v>
      </c>
      <c r="I3" s="1" t="s">
        <v>113</v>
      </c>
      <c r="J3" s="1" t="s">
        <v>115</v>
      </c>
      <c r="K3" s="73">
        <v>27.8</v>
      </c>
      <c r="L3" s="71">
        <v>1000000</v>
      </c>
    </row>
    <row r="4" spans="1:12">
      <c r="A4" s="1" t="s">
        <v>104</v>
      </c>
      <c r="B4" s="70">
        <f t="shared" si="0"/>
        <v>44368</v>
      </c>
      <c r="C4" s="70">
        <v>44370</v>
      </c>
      <c r="D4" s="70">
        <v>44704</v>
      </c>
      <c r="E4" s="1" t="s">
        <v>117</v>
      </c>
      <c r="F4" s="1" t="s">
        <v>109</v>
      </c>
      <c r="G4" s="1" t="s">
        <v>106</v>
      </c>
      <c r="H4" s="1" t="s">
        <v>110</v>
      </c>
      <c r="I4" s="1" t="s">
        <v>113</v>
      </c>
      <c r="J4" s="1" t="s">
        <v>115</v>
      </c>
      <c r="K4" s="73">
        <v>28.1</v>
      </c>
      <c r="L4" s="71">
        <v>1000000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J25" sqref="J25"/>
    </sheetView>
  </sheetViews>
  <sheetFormatPr defaultRowHeight="16.75"/>
  <cols>
    <col min="1" max="1" width="13.921875" customWidth="1"/>
    <col min="2" max="2" width="14.84375" customWidth="1"/>
    <col min="3" max="3" width="10.4609375" customWidth="1"/>
    <col min="4" max="4" width="14.84375" customWidth="1"/>
    <col min="6" max="6" width="15" customWidth="1"/>
    <col min="8" max="8" width="16.765625" customWidth="1"/>
    <col min="9" max="9" width="8.84375" customWidth="1"/>
    <col min="10" max="10" width="14.3046875" customWidth="1"/>
    <col min="11" max="11" width="14.921875" customWidth="1"/>
    <col min="12" max="12" width="15.3828125" customWidth="1"/>
  </cols>
  <sheetData>
    <row r="1" spans="1:21">
      <c r="A1" s="155"/>
      <c r="B1" s="155"/>
      <c r="C1" s="155"/>
      <c r="D1" s="156" t="s">
        <v>119</v>
      </c>
      <c r="E1" s="156"/>
      <c r="F1" s="156" t="s">
        <v>120</v>
      </c>
      <c r="G1" s="157"/>
      <c r="H1" s="156" t="s">
        <v>121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</row>
    <row r="2" spans="1:21">
      <c r="A2" s="155"/>
      <c r="B2" s="155"/>
      <c r="C2" s="159" t="s">
        <v>122</v>
      </c>
      <c r="D2" s="170">
        <v>27842940.27834126</v>
      </c>
      <c r="E2" s="155"/>
      <c r="F2" s="158">
        <v>-1.1175870895385741E-8</v>
      </c>
      <c r="G2" s="158"/>
      <c r="H2" s="158">
        <v>7.4505805969238256E-9</v>
      </c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</row>
    <row r="3" spans="1:21">
      <c r="A3" s="155"/>
      <c r="B3" s="155"/>
      <c r="C3" s="155"/>
      <c r="D3" s="155"/>
      <c r="E3" s="155"/>
      <c r="F3" s="155"/>
      <c r="G3" s="158"/>
      <c r="H3" s="155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</row>
    <row r="4" spans="1:21">
      <c r="A4" s="160" t="s">
        <v>123</v>
      </c>
      <c r="B4" s="160" t="s">
        <v>124</v>
      </c>
      <c r="C4" s="160" t="s">
        <v>2</v>
      </c>
      <c r="D4" s="160" t="s">
        <v>119</v>
      </c>
      <c r="E4" s="161"/>
      <c r="F4" s="160" t="s">
        <v>120</v>
      </c>
      <c r="G4" s="160"/>
      <c r="H4" s="160" t="s">
        <v>121</v>
      </c>
      <c r="I4" s="158"/>
      <c r="J4" s="162" t="s">
        <v>129</v>
      </c>
      <c r="K4" s="161">
        <v>0.5</v>
      </c>
      <c r="L4" s="161">
        <v>1</v>
      </c>
      <c r="M4" s="158"/>
      <c r="N4" s="158"/>
      <c r="O4" s="158"/>
      <c r="P4" s="158"/>
      <c r="Q4" s="158"/>
      <c r="R4" s="158"/>
      <c r="S4" s="158"/>
      <c r="T4" s="158"/>
      <c r="U4" s="158"/>
    </row>
    <row r="5" spans="1:21">
      <c r="A5" s="158" t="s">
        <v>125</v>
      </c>
      <c r="B5" s="170">
        <v>-143412.9700900391</v>
      </c>
      <c r="C5" s="158" t="s">
        <v>4</v>
      </c>
      <c r="D5" s="170">
        <v>27881614.90988322</v>
      </c>
      <c r="E5" s="155"/>
      <c r="F5" s="158">
        <v>-1.1175870895385741E-8</v>
      </c>
      <c r="G5" s="158"/>
      <c r="H5" s="158">
        <v>1.1175870895385741E-8</v>
      </c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</row>
    <row r="6" spans="1:21">
      <c r="A6" s="158" t="s">
        <v>126</v>
      </c>
      <c r="B6" s="170">
        <v>-50456.494520362467</v>
      </c>
      <c r="C6" s="158" t="s">
        <v>4</v>
      </c>
      <c r="D6" s="170">
        <v>-27865715.677520629</v>
      </c>
      <c r="E6" s="155"/>
      <c r="F6" s="158">
        <v>0</v>
      </c>
      <c r="G6" s="158"/>
      <c r="H6" s="158">
        <v>-3.7252902984619141E-9</v>
      </c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</row>
    <row r="7" spans="1:21">
      <c r="A7" s="158" t="s">
        <v>127</v>
      </c>
      <c r="B7" s="170">
        <v>-249905.55978116771</v>
      </c>
      <c r="C7" s="158" t="s">
        <v>4</v>
      </c>
      <c r="D7" s="170">
        <v>27827041.045978669</v>
      </c>
      <c r="E7" s="155"/>
      <c r="F7" s="158">
        <v>0</v>
      </c>
      <c r="G7" s="158"/>
      <c r="H7" s="158">
        <v>0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</row>
    <row r="8" spans="1:21">
      <c r="A8" s="155"/>
      <c r="B8" s="155"/>
      <c r="C8" s="155"/>
      <c r="D8" s="155"/>
      <c r="E8" s="155"/>
      <c r="F8" s="155"/>
      <c r="G8" s="158"/>
      <c r="H8" s="155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7"/>
  <sheetViews>
    <sheetView workbookViewId="0">
      <selection activeCell="J20" sqref="J20"/>
    </sheetView>
  </sheetViews>
  <sheetFormatPr defaultRowHeight="16.75"/>
  <sheetData>
    <row r="1" spans="1:76">
      <c r="A1" s="162"/>
      <c r="B1" s="162"/>
      <c r="C1" s="159"/>
      <c r="D1" s="157" t="s">
        <v>119</v>
      </c>
      <c r="E1" s="163">
        <v>0.25</v>
      </c>
      <c r="F1" s="163">
        <v>0.5</v>
      </c>
      <c r="G1" s="163">
        <v>1</v>
      </c>
      <c r="H1" s="163">
        <v>2</v>
      </c>
      <c r="I1" s="163">
        <v>3</v>
      </c>
      <c r="J1" s="163">
        <v>5</v>
      </c>
      <c r="K1" s="163">
        <v>10</v>
      </c>
      <c r="L1" s="163">
        <v>15</v>
      </c>
      <c r="M1" s="163">
        <v>20</v>
      </c>
      <c r="N1" s="163">
        <v>30</v>
      </c>
      <c r="O1" s="162"/>
      <c r="P1" s="157" t="s">
        <v>120</v>
      </c>
      <c r="Q1" s="163">
        <v>0.25</v>
      </c>
      <c r="R1" s="163">
        <v>0.5</v>
      </c>
      <c r="S1" s="163">
        <v>1</v>
      </c>
      <c r="T1" s="163">
        <v>2</v>
      </c>
      <c r="U1" s="163">
        <v>3</v>
      </c>
      <c r="V1" s="163">
        <v>5</v>
      </c>
      <c r="W1" s="163">
        <v>10</v>
      </c>
      <c r="X1" s="163">
        <v>15</v>
      </c>
      <c r="Y1" s="163">
        <v>20</v>
      </c>
      <c r="Z1" s="163">
        <v>30</v>
      </c>
      <c r="AA1" s="162"/>
      <c r="AB1" s="157" t="s">
        <v>121</v>
      </c>
      <c r="AC1" s="163">
        <v>0.25</v>
      </c>
      <c r="AD1" s="163">
        <v>0.5</v>
      </c>
      <c r="AE1" s="163">
        <v>1</v>
      </c>
      <c r="AF1" s="163">
        <v>2</v>
      </c>
      <c r="AG1" s="163">
        <v>3</v>
      </c>
      <c r="AH1" s="163">
        <v>5</v>
      </c>
      <c r="AI1" s="163">
        <v>10</v>
      </c>
      <c r="AJ1" s="163">
        <v>15</v>
      </c>
      <c r="AK1" s="163">
        <v>20</v>
      </c>
      <c r="AL1" s="163">
        <v>30</v>
      </c>
      <c r="AM1" s="163"/>
      <c r="AN1" s="164"/>
      <c r="AO1" s="165"/>
      <c r="AP1" s="166" t="s">
        <v>119</v>
      </c>
      <c r="AQ1" s="167">
        <v>0.25</v>
      </c>
      <c r="AR1" s="167">
        <v>0.5</v>
      </c>
      <c r="AS1" s="167">
        <v>1</v>
      </c>
      <c r="AT1" s="167">
        <v>2</v>
      </c>
      <c r="AU1" s="167">
        <v>3</v>
      </c>
      <c r="AV1" s="167">
        <v>5</v>
      </c>
      <c r="AW1" s="167">
        <v>10</v>
      </c>
      <c r="AX1" s="167">
        <v>15</v>
      </c>
      <c r="AY1" s="167">
        <v>20</v>
      </c>
      <c r="AZ1" s="167">
        <v>30</v>
      </c>
      <c r="BA1" s="162"/>
      <c r="BB1" s="166" t="s">
        <v>120</v>
      </c>
      <c r="BC1" s="167">
        <v>0.25</v>
      </c>
      <c r="BD1" s="167">
        <v>0.5</v>
      </c>
      <c r="BE1" s="167">
        <v>1</v>
      </c>
      <c r="BF1" s="167">
        <v>2</v>
      </c>
      <c r="BG1" s="167">
        <v>3</v>
      </c>
      <c r="BH1" s="167">
        <v>5</v>
      </c>
      <c r="BI1" s="167">
        <v>10</v>
      </c>
      <c r="BJ1" s="167">
        <v>15</v>
      </c>
      <c r="BK1" s="167">
        <v>20</v>
      </c>
      <c r="BL1" s="167">
        <v>30</v>
      </c>
      <c r="BM1" s="162"/>
      <c r="BN1" s="168" t="s">
        <v>121</v>
      </c>
      <c r="BO1" s="169">
        <v>0.25</v>
      </c>
      <c r="BP1" s="169">
        <v>0.5</v>
      </c>
      <c r="BQ1" s="169">
        <v>1</v>
      </c>
      <c r="BR1" s="169">
        <v>2</v>
      </c>
      <c r="BS1" s="169">
        <v>3</v>
      </c>
      <c r="BT1" s="169">
        <v>5</v>
      </c>
      <c r="BU1" s="169">
        <v>10</v>
      </c>
      <c r="BV1" s="169">
        <v>15</v>
      </c>
      <c r="BW1" s="169">
        <v>20</v>
      </c>
      <c r="BX1" s="169">
        <v>30</v>
      </c>
    </row>
    <row r="2" spans="1:76">
      <c r="A2" s="162"/>
      <c r="B2" s="162"/>
      <c r="C2" s="162" t="s">
        <v>122</v>
      </c>
      <c r="D2" s="162"/>
      <c r="E2" s="162">
        <v>-75857824.138700962</v>
      </c>
      <c r="F2" s="162">
        <v>0</v>
      </c>
      <c r="G2" s="162">
        <v>0</v>
      </c>
      <c r="H2" s="162">
        <v>0</v>
      </c>
      <c r="I2" s="162">
        <v>0</v>
      </c>
      <c r="J2" s="162">
        <v>0</v>
      </c>
      <c r="K2" s="162">
        <v>0</v>
      </c>
      <c r="L2" s="162">
        <v>0</v>
      </c>
      <c r="M2" s="162">
        <v>0</v>
      </c>
      <c r="N2" s="162">
        <v>0</v>
      </c>
      <c r="O2" s="162"/>
      <c r="P2" s="162"/>
      <c r="Q2" s="162">
        <v>-3831.5955747664052</v>
      </c>
      <c r="R2" s="162">
        <v>0</v>
      </c>
      <c r="S2" s="162">
        <v>0</v>
      </c>
      <c r="T2" s="162">
        <v>0</v>
      </c>
      <c r="U2" s="162">
        <v>0</v>
      </c>
      <c r="V2" s="162">
        <v>0</v>
      </c>
      <c r="W2" s="162">
        <v>0</v>
      </c>
      <c r="X2" s="162">
        <v>0</v>
      </c>
      <c r="Y2" s="162">
        <v>0</v>
      </c>
      <c r="Z2" s="162">
        <v>0</v>
      </c>
      <c r="AA2" s="162"/>
      <c r="AB2" s="162"/>
      <c r="AC2" s="162">
        <v>-3904.4763222932738</v>
      </c>
      <c r="AD2" s="162">
        <v>0</v>
      </c>
      <c r="AE2" s="162">
        <v>0</v>
      </c>
      <c r="AF2" s="162">
        <v>0</v>
      </c>
      <c r="AG2" s="162">
        <v>0</v>
      </c>
      <c r="AH2" s="162">
        <v>0</v>
      </c>
      <c r="AI2" s="162">
        <v>0</v>
      </c>
      <c r="AJ2" s="162">
        <v>0</v>
      </c>
      <c r="AK2" s="162">
        <v>0</v>
      </c>
      <c r="AL2" s="162">
        <v>0</v>
      </c>
      <c r="AM2" s="162"/>
      <c r="AN2" s="155"/>
      <c r="AO2" s="162" t="s">
        <v>122</v>
      </c>
      <c r="AP2" s="162"/>
      <c r="AQ2" s="162">
        <v>-75857824.138700962</v>
      </c>
      <c r="AR2" s="162">
        <v>0</v>
      </c>
      <c r="AS2" s="162">
        <v>0</v>
      </c>
      <c r="AT2" s="162">
        <v>0</v>
      </c>
      <c r="AU2" s="162">
        <v>0</v>
      </c>
      <c r="AV2" s="162">
        <v>0</v>
      </c>
      <c r="AW2" s="162">
        <v>0</v>
      </c>
      <c r="AX2" s="162">
        <v>0</v>
      </c>
      <c r="AY2" s="162">
        <v>0</v>
      </c>
      <c r="AZ2" s="162">
        <v>0</v>
      </c>
      <c r="BA2" s="162"/>
      <c r="BB2" s="162"/>
      <c r="BC2" s="162">
        <v>-3831.5955747664052</v>
      </c>
      <c r="BD2" s="162">
        <v>0</v>
      </c>
      <c r="BE2" s="162">
        <v>0</v>
      </c>
      <c r="BF2" s="162">
        <v>0</v>
      </c>
      <c r="BG2" s="162">
        <v>0</v>
      </c>
      <c r="BH2" s="162">
        <v>0</v>
      </c>
      <c r="BI2" s="162">
        <v>0</v>
      </c>
      <c r="BJ2" s="162">
        <v>0</v>
      </c>
      <c r="BK2" s="162">
        <v>0</v>
      </c>
      <c r="BL2" s="162">
        <v>0</v>
      </c>
      <c r="BM2" s="162"/>
      <c r="BN2" s="162"/>
      <c r="BO2" s="162">
        <v>-3904.4763222932738</v>
      </c>
      <c r="BP2" s="162">
        <v>0</v>
      </c>
      <c r="BQ2" s="162">
        <v>0</v>
      </c>
      <c r="BR2" s="162">
        <v>0</v>
      </c>
      <c r="BS2" s="162">
        <v>0</v>
      </c>
      <c r="BT2" s="162">
        <v>0</v>
      </c>
      <c r="BU2" s="162">
        <v>0</v>
      </c>
      <c r="BV2" s="162">
        <v>0</v>
      </c>
      <c r="BW2" s="162">
        <v>0</v>
      </c>
      <c r="BX2" s="162">
        <v>0</v>
      </c>
    </row>
    <row r="3" spans="1:76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55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2"/>
      <c r="BV3" s="162"/>
      <c r="BW3" s="162"/>
      <c r="BX3" s="162"/>
    </row>
    <row r="4" spans="1:76">
      <c r="A4" s="162" t="s">
        <v>123</v>
      </c>
      <c r="B4" s="162" t="s">
        <v>124</v>
      </c>
      <c r="C4" s="162" t="s">
        <v>2</v>
      </c>
      <c r="D4" s="162" t="s">
        <v>119</v>
      </c>
      <c r="E4" s="161">
        <v>0.25</v>
      </c>
      <c r="F4" s="161">
        <v>0.5</v>
      </c>
      <c r="G4" s="161">
        <v>1</v>
      </c>
      <c r="H4" s="161">
        <v>2</v>
      </c>
      <c r="I4" s="161">
        <v>3</v>
      </c>
      <c r="J4" s="161">
        <v>5</v>
      </c>
      <c r="K4" s="161">
        <v>10</v>
      </c>
      <c r="L4" s="161">
        <v>15</v>
      </c>
      <c r="M4" s="161">
        <v>20</v>
      </c>
      <c r="N4" s="161">
        <v>30</v>
      </c>
      <c r="O4" s="162"/>
      <c r="P4" s="162" t="s">
        <v>120</v>
      </c>
      <c r="Q4" s="161">
        <v>0.25</v>
      </c>
      <c r="R4" s="161">
        <v>0.5</v>
      </c>
      <c r="S4" s="161">
        <v>1</v>
      </c>
      <c r="T4" s="161">
        <v>2</v>
      </c>
      <c r="U4" s="161">
        <v>3</v>
      </c>
      <c r="V4" s="161">
        <v>5</v>
      </c>
      <c r="W4" s="161">
        <v>10</v>
      </c>
      <c r="X4" s="161">
        <v>15</v>
      </c>
      <c r="Y4" s="161">
        <v>20</v>
      </c>
      <c r="Z4" s="161">
        <v>30</v>
      </c>
      <c r="AA4" s="162"/>
      <c r="AB4" s="162" t="s">
        <v>121</v>
      </c>
      <c r="AC4" s="161">
        <v>0.25</v>
      </c>
      <c r="AD4" s="161">
        <v>0.5</v>
      </c>
      <c r="AE4" s="161">
        <v>1</v>
      </c>
      <c r="AF4" s="161">
        <v>2</v>
      </c>
      <c r="AG4" s="161">
        <v>3</v>
      </c>
      <c r="AH4" s="161">
        <v>5</v>
      </c>
      <c r="AI4" s="161">
        <v>10</v>
      </c>
      <c r="AJ4" s="161">
        <v>15</v>
      </c>
      <c r="AK4" s="161">
        <v>20</v>
      </c>
      <c r="AL4" s="161">
        <v>30</v>
      </c>
      <c r="AM4" s="161"/>
      <c r="AN4" s="159" t="s">
        <v>124</v>
      </c>
      <c r="AO4" s="162" t="s">
        <v>2</v>
      </c>
      <c r="AP4" s="162" t="s">
        <v>119</v>
      </c>
      <c r="AQ4" s="161">
        <v>0.25</v>
      </c>
      <c r="AR4" s="161">
        <v>0.5</v>
      </c>
      <c r="AS4" s="161">
        <v>1</v>
      </c>
      <c r="AT4" s="161">
        <v>2</v>
      </c>
      <c r="AU4" s="161">
        <v>3</v>
      </c>
      <c r="AV4" s="161">
        <v>5</v>
      </c>
      <c r="AW4" s="161">
        <v>10</v>
      </c>
      <c r="AX4" s="161">
        <v>15</v>
      </c>
      <c r="AY4" s="161">
        <v>20</v>
      </c>
      <c r="AZ4" s="161">
        <v>30</v>
      </c>
      <c r="BA4" s="162"/>
      <c r="BB4" s="162" t="s">
        <v>120</v>
      </c>
      <c r="BC4" s="161">
        <v>0.25</v>
      </c>
      <c r="BD4" s="161">
        <v>0.5</v>
      </c>
      <c r="BE4" s="161">
        <v>1</v>
      </c>
      <c r="BF4" s="161">
        <v>2</v>
      </c>
      <c r="BG4" s="161">
        <v>3</v>
      </c>
      <c r="BH4" s="161">
        <v>5</v>
      </c>
      <c r="BI4" s="161">
        <v>10</v>
      </c>
      <c r="BJ4" s="161">
        <v>15</v>
      </c>
      <c r="BK4" s="161">
        <v>20</v>
      </c>
      <c r="BL4" s="161">
        <v>30</v>
      </c>
      <c r="BM4" s="162"/>
      <c r="BN4" s="162" t="s">
        <v>121</v>
      </c>
      <c r="BO4" s="161">
        <v>0.25</v>
      </c>
      <c r="BP4" s="161">
        <v>0.5</v>
      </c>
      <c r="BQ4" s="161">
        <v>1</v>
      </c>
      <c r="BR4" s="161">
        <v>2</v>
      </c>
      <c r="BS4" s="161">
        <v>3</v>
      </c>
      <c r="BT4" s="161">
        <v>5</v>
      </c>
      <c r="BU4" s="161">
        <v>10</v>
      </c>
      <c r="BV4" s="161">
        <v>15</v>
      </c>
      <c r="BW4" s="161">
        <v>20</v>
      </c>
      <c r="BX4" s="161">
        <v>30</v>
      </c>
    </row>
    <row r="5" spans="1:76">
      <c r="A5" s="158" t="s">
        <v>125</v>
      </c>
      <c r="B5" s="158">
        <v>-143412.9700900391</v>
      </c>
      <c r="C5" s="158" t="s">
        <v>4</v>
      </c>
      <c r="D5" s="158"/>
      <c r="E5" s="158">
        <v>-5781308.5202127704</v>
      </c>
      <c r="F5" s="158">
        <v>15804.45494502783</v>
      </c>
      <c r="G5" s="158">
        <v>15804.45494502783</v>
      </c>
      <c r="H5" s="158"/>
      <c r="I5" s="158"/>
      <c r="J5" s="158"/>
      <c r="K5" s="158"/>
      <c r="L5" s="158"/>
      <c r="M5" s="158"/>
      <c r="N5" s="158"/>
      <c r="O5" s="155"/>
      <c r="P5" s="158"/>
      <c r="Q5" s="158">
        <v>-115.64394946396349</v>
      </c>
      <c r="R5" s="158">
        <v>268.67573406547308</v>
      </c>
      <c r="S5" s="158">
        <v>268.67573406547308</v>
      </c>
      <c r="T5" s="158"/>
      <c r="U5" s="158"/>
      <c r="V5" s="158"/>
      <c r="W5" s="158"/>
      <c r="X5" s="158"/>
      <c r="Y5" s="158"/>
      <c r="Z5" s="158"/>
      <c r="AA5" s="155"/>
      <c r="AB5" s="158"/>
      <c r="AC5" s="158">
        <v>-660.72460474073887</v>
      </c>
      <c r="AD5" s="158">
        <v>-268.67573406547308</v>
      </c>
      <c r="AE5" s="158">
        <v>-268.67573406547308</v>
      </c>
      <c r="AF5" s="158"/>
      <c r="AG5" s="158"/>
      <c r="AH5" s="158"/>
      <c r="AI5" s="158"/>
      <c r="AJ5" s="158"/>
      <c r="AK5" s="158"/>
      <c r="AL5" s="158"/>
      <c r="AM5" s="158"/>
      <c r="AN5" s="158">
        <v>-143412.9700900391</v>
      </c>
      <c r="AO5" s="158" t="s">
        <v>128</v>
      </c>
      <c r="AP5" s="158"/>
      <c r="AQ5" s="158">
        <v>5642895.1494023204</v>
      </c>
      <c r="AR5" s="158">
        <v>-112061.967626214</v>
      </c>
      <c r="AS5" s="158">
        <v>-112061.967626214</v>
      </c>
      <c r="AT5" s="158"/>
      <c r="AU5" s="158"/>
      <c r="AV5" s="158"/>
      <c r="AW5" s="158"/>
      <c r="AX5" s="158"/>
      <c r="AY5" s="158"/>
      <c r="AZ5" s="158"/>
      <c r="BA5" s="155"/>
      <c r="BB5" s="158"/>
      <c r="BC5" s="158">
        <v>-1528.2224282957609</v>
      </c>
      <c r="BD5" s="158">
        <v>-1905.0534496456389</v>
      </c>
      <c r="BE5" s="158">
        <v>-1905.0534496456389</v>
      </c>
      <c r="BF5" s="158"/>
      <c r="BG5" s="158"/>
      <c r="BH5" s="158"/>
      <c r="BI5" s="158"/>
      <c r="BJ5" s="158"/>
      <c r="BK5" s="158"/>
      <c r="BL5" s="158"/>
      <c r="BM5" s="155"/>
      <c r="BN5" s="158"/>
      <c r="BO5" s="158">
        <v>2289.4243673086171</v>
      </c>
      <c r="BP5" s="158">
        <v>1905.0534496456389</v>
      </c>
      <c r="BQ5" s="158">
        <v>1905.0534496456389</v>
      </c>
      <c r="BR5" s="158"/>
      <c r="BS5" s="158"/>
      <c r="BT5" s="158"/>
      <c r="BU5" s="158"/>
      <c r="BV5" s="158"/>
      <c r="BW5" s="158"/>
      <c r="BX5" s="158"/>
    </row>
    <row r="6" spans="1:76">
      <c r="A6" s="158" t="s">
        <v>126</v>
      </c>
      <c r="B6" s="158">
        <v>-50468.54573597014</v>
      </c>
      <c r="C6" s="158" t="s">
        <v>4</v>
      </c>
      <c r="D6" s="158"/>
      <c r="E6" s="158">
        <v>2142682.5882866979</v>
      </c>
      <c r="F6" s="158">
        <v>10848757.27374107</v>
      </c>
      <c r="G6" s="158">
        <v>0</v>
      </c>
      <c r="H6" s="158"/>
      <c r="I6" s="158"/>
      <c r="J6" s="158"/>
      <c r="K6" s="158"/>
      <c r="L6" s="158"/>
      <c r="M6" s="158"/>
      <c r="N6" s="158"/>
      <c r="O6" s="155"/>
      <c r="P6" s="158"/>
      <c r="Q6" s="158">
        <v>101.9577146470547</v>
      </c>
      <c r="R6" s="158">
        <v>1387.091395933181</v>
      </c>
      <c r="S6" s="158">
        <v>0</v>
      </c>
      <c r="T6" s="158"/>
      <c r="U6" s="158"/>
      <c r="V6" s="158"/>
      <c r="W6" s="158"/>
      <c r="X6" s="158"/>
      <c r="Y6" s="158"/>
      <c r="Z6" s="158"/>
      <c r="AA6" s="155"/>
      <c r="AB6" s="158"/>
      <c r="AC6" s="158">
        <v>103.8538833484054</v>
      </c>
      <c r="AD6" s="158">
        <v>1426.0338274277749</v>
      </c>
      <c r="AE6" s="158">
        <v>0</v>
      </c>
      <c r="AF6" s="158"/>
      <c r="AG6" s="158"/>
      <c r="AH6" s="158"/>
      <c r="AI6" s="158"/>
      <c r="AJ6" s="158"/>
      <c r="AK6" s="158"/>
      <c r="AL6" s="158"/>
      <c r="AM6" s="158"/>
      <c r="AN6" s="158">
        <v>-50451.246264316142</v>
      </c>
      <c r="AO6" s="158" t="s">
        <v>128</v>
      </c>
      <c r="AP6" s="158"/>
      <c r="AQ6" s="158">
        <v>-2112382.977046072</v>
      </c>
      <c r="AR6" s="158">
        <v>-10695339.37469125</v>
      </c>
      <c r="AS6" s="158">
        <v>0</v>
      </c>
      <c r="AT6" s="158"/>
      <c r="AU6" s="158"/>
      <c r="AV6" s="158"/>
      <c r="AW6" s="158"/>
      <c r="AX6" s="158"/>
      <c r="AY6" s="158"/>
      <c r="AZ6" s="158"/>
      <c r="BA6" s="155"/>
      <c r="BB6" s="158"/>
      <c r="BC6" s="158">
        <v>-99.278374601155519</v>
      </c>
      <c r="BD6" s="158">
        <v>-1350.714501347393</v>
      </c>
      <c r="BE6" s="158">
        <v>0</v>
      </c>
      <c r="BF6" s="158"/>
      <c r="BG6" s="158"/>
      <c r="BH6" s="158"/>
      <c r="BI6" s="158"/>
      <c r="BJ6" s="158"/>
      <c r="BK6" s="158"/>
      <c r="BL6" s="158"/>
      <c r="BM6" s="155"/>
      <c r="BN6" s="158"/>
      <c r="BO6" s="158">
        <v>-101.11639057099821</v>
      </c>
      <c r="BP6" s="158">
        <v>-1388.362516753376</v>
      </c>
      <c r="BQ6" s="158">
        <v>0</v>
      </c>
      <c r="BR6" s="158"/>
      <c r="BS6" s="158"/>
      <c r="BT6" s="158"/>
      <c r="BU6" s="158"/>
      <c r="BV6" s="158"/>
      <c r="BW6" s="158"/>
      <c r="BX6" s="158"/>
    </row>
    <row r="7" spans="1:76">
      <c r="A7" s="158" t="s">
        <v>127</v>
      </c>
      <c r="B7" s="158">
        <v>94296.842633157969</v>
      </c>
      <c r="C7" s="158" t="s">
        <v>4</v>
      </c>
      <c r="D7" s="158"/>
      <c r="E7" s="158">
        <v>-3441254166.229702</v>
      </c>
      <c r="F7" s="158">
        <v>-3446525987.1989489</v>
      </c>
      <c r="G7" s="158">
        <v>-3461197554.6428561</v>
      </c>
      <c r="H7" s="158"/>
      <c r="I7" s="158"/>
      <c r="J7" s="158"/>
      <c r="K7" s="158"/>
      <c r="L7" s="158"/>
      <c r="M7" s="158"/>
      <c r="N7" s="158"/>
      <c r="O7" s="155"/>
      <c r="P7" s="158"/>
      <c r="Q7" s="158">
        <v>-58501320.825904943</v>
      </c>
      <c r="R7" s="158">
        <v>-58501845.278356053</v>
      </c>
      <c r="S7" s="158">
        <v>-58506195.424069613</v>
      </c>
      <c r="T7" s="158"/>
      <c r="U7" s="158"/>
      <c r="V7" s="158"/>
      <c r="W7" s="158"/>
      <c r="X7" s="158"/>
      <c r="Y7" s="158"/>
      <c r="Z7" s="158"/>
      <c r="AA7" s="155"/>
      <c r="AB7" s="158"/>
      <c r="AC7" s="158">
        <v>58501320.825904943</v>
      </c>
      <c r="AD7" s="158">
        <v>58500782.869613841</v>
      </c>
      <c r="AE7" s="158">
        <v>58496233.012305588</v>
      </c>
      <c r="AF7" s="158"/>
      <c r="AG7" s="158"/>
      <c r="AH7" s="158"/>
      <c r="AI7" s="158"/>
      <c r="AJ7" s="158"/>
      <c r="AK7" s="158"/>
      <c r="AL7" s="158"/>
      <c r="AM7" s="158"/>
      <c r="AN7" s="158">
        <v>-592785.51670895889</v>
      </c>
      <c r="AO7" s="158" t="s">
        <v>128</v>
      </c>
      <c r="AP7" s="158"/>
      <c r="AQ7" s="158">
        <v>3428618119.7755041</v>
      </c>
      <c r="AR7" s="158">
        <v>3433871566.1056342</v>
      </c>
      <c r="AS7" s="158">
        <v>3448491964.4831119</v>
      </c>
      <c r="AT7" s="158"/>
      <c r="AU7" s="158"/>
      <c r="AV7" s="158"/>
      <c r="AW7" s="158"/>
      <c r="AX7" s="158"/>
      <c r="AY7" s="158"/>
      <c r="AZ7" s="158"/>
      <c r="BA7" s="155"/>
      <c r="BB7" s="158"/>
      <c r="BC7" s="158">
        <v>58286508.036183573</v>
      </c>
      <c r="BD7" s="158">
        <v>58287024.247693747</v>
      </c>
      <c r="BE7" s="158">
        <v>58291306.522954017</v>
      </c>
      <c r="BF7" s="158"/>
      <c r="BG7" s="158"/>
      <c r="BH7" s="158"/>
      <c r="BI7" s="158"/>
      <c r="BJ7" s="158"/>
      <c r="BK7" s="158"/>
      <c r="BL7" s="158"/>
      <c r="BM7" s="155"/>
      <c r="BN7" s="158"/>
      <c r="BO7" s="158">
        <v>-58286508.036183573</v>
      </c>
      <c r="BP7" s="158">
        <v>-58285978.622357287</v>
      </c>
      <c r="BQ7" s="158">
        <v>-58281501.584235363</v>
      </c>
      <c r="BR7" s="158"/>
      <c r="BS7" s="158"/>
      <c r="BT7" s="158"/>
      <c r="BU7" s="158"/>
      <c r="BV7" s="158"/>
      <c r="BW7" s="158"/>
      <c r="BX7" s="15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MktData</vt:lpstr>
      <vt:lpstr>Option</vt:lpstr>
      <vt:lpstr>FXR</vt:lpstr>
      <vt:lpstr>GIRR</vt:lpstr>
      <vt:lpstr>XAry</vt:lpstr>
      <vt:lpstr>YAry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dong</dc:creator>
  <cp:lastModifiedBy>andy dong</cp:lastModifiedBy>
  <dcterms:created xsi:type="dcterms:W3CDTF">2021-12-22T16:50:46Z</dcterms:created>
  <dcterms:modified xsi:type="dcterms:W3CDTF">2022-01-29T07:23:04Z</dcterms:modified>
</cp:coreProperties>
</file>