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simpsontravelco.sharepoint.com/sites/Digital/Shared Documents/ScoreCard/Master/"/>
    </mc:Choice>
  </mc:AlternateContent>
  <bookViews>
    <workbookView xWindow="0" yWindow="0" windowWidth="28800" windowHeight="9510"/>
  </bookViews>
  <sheets>
    <sheet name="Sheet1" sheetId="1" r:id="rId1"/>
    <sheet name="Sheet2" sheetId="2" r:id="rId2"/>
  </sheets>
  <calcPr calcId="171027"/>
</workbook>
</file>

<file path=xl/calcChain.xml><?xml version="1.0" encoding="utf-8"?>
<calcChain xmlns="http://schemas.openxmlformats.org/spreadsheetml/2006/main">
  <c r="P95" i="1" l="1"/>
  <c r="M95" i="1"/>
  <c r="J95" i="1"/>
  <c r="G95" i="1"/>
  <c r="E95" i="1"/>
  <c r="P94" i="1"/>
  <c r="M94" i="1"/>
  <c r="J94" i="1"/>
  <c r="G94" i="1"/>
  <c r="E94" i="1"/>
  <c r="P93" i="1"/>
  <c r="M93" i="1"/>
  <c r="J93" i="1"/>
  <c r="G93" i="1"/>
  <c r="E93" i="1"/>
  <c r="P92" i="1"/>
  <c r="M92" i="1"/>
  <c r="J92" i="1"/>
  <c r="G92" i="1"/>
  <c r="E92" i="1"/>
  <c r="P91" i="1"/>
  <c r="M91" i="1"/>
  <c r="J91" i="1"/>
  <c r="G91" i="1"/>
  <c r="E91" i="1"/>
  <c r="P90" i="1"/>
  <c r="M90" i="1"/>
  <c r="J90" i="1"/>
  <c r="G90" i="1"/>
  <c r="E90" i="1"/>
  <c r="P88" i="1"/>
  <c r="M88" i="1"/>
  <c r="J88" i="1"/>
  <c r="G88" i="1"/>
  <c r="E88" i="1"/>
  <c r="P87" i="1"/>
  <c r="M87" i="1"/>
  <c r="J87" i="1"/>
  <c r="G87" i="1"/>
  <c r="E87" i="1"/>
  <c r="P86" i="1"/>
  <c r="M86" i="1"/>
  <c r="J86" i="1"/>
  <c r="G86" i="1"/>
  <c r="E86" i="1"/>
  <c r="P85" i="1"/>
  <c r="M85" i="1"/>
  <c r="J85" i="1"/>
  <c r="G85" i="1"/>
  <c r="E85" i="1"/>
  <c r="P84" i="1"/>
  <c r="M84" i="1"/>
  <c r="J84" i="1"/>
  <c r="G84" i="1"/>
  <c r="E84" i="1"/>
  <c r="P83" i="1"/>
  <c r="M83" i="1"/>
  <c r="J83" i="1"/>
  <c r="G83" i="1"/>
  <c r="E83" i="1"/>
  <c r="P82" i="1"/>
  <c r="M82" i="1"/>
  <c r="J82" i="1"/>
  <c r="G82" i="1"/>
  <c r="E82" i="1"/>
  <c r="P80" i="1"/>
  <c r="M80" i="1"/>
  <c r="J80" i="1"/>
  <c r="G80" i="1"/>
  <c r="E80" i="1"/>
  <c r="P79" i="1"/>
  <c r="M79" i="1"/>
  <c r="J79" i="1"/>
  <c r="G79" i="1"/>
  <c r="E79" i="1"/>
  <c r="P78" i="1"/>
  <c r="M78" i="1"/>
  <c r="J78" i="1"/>
  <c r="G78" i="1"/>
  <c r="E78" i="1"/>
  <c r="P77" i="1"/>
  <c r="M77" i="1"/>
  <c r="J77" i="1"/>
  <c r="G77" i="1"/>
  <c r="E77" i="1"/>
  <c r="P76" i="1"/>
  <c r="M76" i="1"/>
  <c r="J76" i="1"/>
  <c r="G76" i="1"/>
  <c r="E76" i="1"/>
  <c r="P75" i="1"/>
  <c r="M75" i="1"/>
  <c r="J75" i="1"/>
  <c r="G75" i="1"/>
  <c r="E75" i="1"/>
  <c r="P74" i="1"/>
  <c r="M74" i="1"/>
  <c r="J74" i="1"/>
  <c r="G74" i="1"/>
  <c r="E74" i="1"/>
  <c r="P72" i="1"/>
  <c r="M72" i="1"/>
  <c r="J72" i="1"/>
  <c r="G72" i="1"/>
  <c r="E72" i="1"/>
  <c r="P71" i="1"/>
  <c r="M71" i="1"/>
  <c r="J71" i="1"/>
  <c r="G71" i="1"/>
  <c r="E71" i="1"/>
  <c r="P70" i="1"/>
  <c r="M70" i="1"/>
  <c r="J70" i="1"/>
  <c r="G70" i="1"/>
  <c r="E70" i="1"/>
  <c r="P69" i="1"/>
  <c r="M69" i="1"/>
  <c r="J69" i="1"/>
  <c r="G69" i="1"/>
  <c r="E69" i="1"/>
  <c r="P68" i="1"/>
  <c r="M68" i="1"/>
  <c r="J68" i="1"/>
  <c r="G68" i="1"/>
  <c r="E68" i="1"/>
  <c r="P64" i="1"/>
  <c r="M64" i="1"/>
  <c r="J64" i="1"/>
  <c r="G64" i="1"/>
  <c r="E64" i="1"/>
  <c r="P63" i="1"/>
  <c r="M63" i="1"/>
  <c r="J63" i="1"/>
  <c r="G63" i="1"/>
  <c r="E63" i="1"/>
  <c r="P62" i="1"/>
  <c r="M62" i="1"/>
  <c r="J62" i="1"/>
  <c r="G62" i="1"/>
  <c r="E62" i="1"/>
  <c r="P61" i="1"/>
  <c r="M61" i="1"/>
  <c r="J61" i="1"/>
  <c r="G61" i="1"/>
  <c r="E61" i="1"/>
  <c r="P60" i="1"/>
  <c r="M60" i="1"/>
  <c r="J60" i="1"/>
  <c r="G60" i="1"/>
  <c r="E60" i="1"/>
  <c r="P59" i="1"/>
  <c r="M59" i="1"/>
  <c r="J59" i="1"/>
  <c r="G59" i="1"/>
  <c r="E59" i="1"/>
  <c r="P57" i="1"/>
  <c r="M57" i="1"/>
  <c r="J57" i="1"/>
  <c r="G57" i="1"/>
  <c r="E57" i="1"/>
  <c r="P56" i="1"/>
  <c r="M56" i="1"/>
  <c r="J56" i="1"/>
  <c r="G56" i="1"/>
  <c r="E56" i="1"/>
  <c r="P55" i="1"/>
  <c r="M55" i="1"/>
  <c r="J55" i="1"/>
  <c r="G55" i="1"/>
  <c r="E55" i="1"/>
  <c r="P54" i="1"/>
  <c r="M54" i="1"/>
  <c r="J54" i="1"/>
  <c r="G54" i="1"/>
  <c r="E54" i="1"/>
  <c r="P53" i="1"/>
  <c r="M53" i="1"/>
  <c r="J53" i="1"/>
  <c r="G53" i="1"/>
  <c r="E53" i="1"/>
  <c r="P52" i="1"/>
  <c r="M52" i="1"/>
  <c r="J52" i="1"/>
  <c r="G52" i="1"/>
  <c r="E52" i="1"/>
  <c r="P51" i="1"/>
  <c r="M51" i="1"/>
  <c r="J51" i="1"/>
  <c r="G51" i="1"/>
  <c r="E51" i="1"/>
  <c r="P49" i="1"/>
  <c r="M49" i="1"/>
  <c r="J49" i="1"/>
  <c r="G49" i="1"/>
  <c r="E49" i="1"/>
  <c r="P48" i="1"/>
  <c r="M48" i="1"/>
  <c r="J48" i="1"/>
  <c r="G48" i="1"/>
  <c r="E48" i="1"/>
  <c r="P47" i="1"/>
  <c r="M47" i="1"/>
  <c r="J47" i="1"/>
  <c r="G47" i="1"/>
  <c r="E47" i="1"/>
  <c r="P46" i="1"/>
  <c r="M46" i="1"/>
  <c r="J46" i="1"/>
  <c r="G46" i="1"/>
  <c r="E46" i="1"/>
  <c r="P45" i="1"/>
  <c r="M45" i="1"/>
  <c r="J45" i="1"/>
  <c r="G45" i="1"/>
  <c r="E45" i="1"/>
  <c r="P44" i="1"/>
  <c r="M44" i="1"/>
  <c r="J44" i="1"/>
  <c r="G44" i="1"/>
  <c r="E44" i="1"/>
  <c r="P43" i="1"/>
  <c r="M43" i="1"/>
  <c r="J43" i="1"/>
  <c r="G43" i="1"/>
  <c r="E43" i="1"/>
  <c r="P41" i="1"/>
  <c r="M41" i="1"/>
  <c r="J41" i="1"/>
  <c r="G41" i="1"/>
  <c r="E41" i="1"/>
  <c r="P40" i="1"/>
  <c r="M40" i="1"/>
  <c r="J40" i="1"/>
  <c r="G40" i="1"/>
  <c r="E40" i="1"/>
  <c r="P39" i="1"/>
  <c r="M39" i="1"/>
  <c r="J39" i="1"/>
  <c r="G39" i="1"/>
  <c r="E39" i="1"/>
  <c r="P38" i="1"/>
  <c r="M38" i="1"/>
  <c r="J38" i="1"/>
  <c r="G38" i="1"/>
  <c r="E38" i="1"/>
  <c r="P37" i="1"/>
  <c r="M37" i="1"/>
  <c r="J37" i="1"/>
  <c r="G37" i="1"/>
  <c r="E37" i="1"/>
  <c r="O33" i="1"/>
  <c r="P33" i="1" s="1"/>
  <c r="N33" i="1"/>
  <c r="L33" i="1"/>
  <c r="K33" i="1"/>
  <c r="M33" i="1" s="1"/>
  <c r="I33" i="1"/>
  <c r="H33" i="1"/>
  <c r="J33" i="1" s="1"/>
  <c r="F33" i="1"/>
  <c r="D33" i="1"/>
  <c r="C33" i="1"/>
  <c r="G33" i="1" s="1"/>
  <c r="P32" i="1"/>
  <c r="M32" i="1"/>
  <c r="J32" i="1"/>
  <c r="G32" i="1"/>
  <c r="E32" i="1"/>
  <c r="P31" i="1"/>
  <c r="M31" i="1"/>
  <c r="J31" i="1"/>
  <c r="G31" i="1"/>
  <c r="E31" i="1"/>
  <c r="P28" i="1"/>
  <c r="M28" i="1"/>
  <c r="J28" i="1"/>
  <c r="G28" i="1"/>
  <c r="E28" i="1"/>
  <c r="P27" i="1"/>
  <c r="M27" i="1"/>
  <c r="J27" i="1"/>
  <c r="G27" i="1"/>
  <c r="E27" i="1"/>
  <c r="P26" i="1"/>
  <c r="M26" i="1"/>
  <c r="J26" i="1"/>
  <c r="G26" i="1"/>
  <c r="E26" i="1"/>
  <c r="P25" i="1"/>
  <c r="M25" i="1"/>
  <c r="J25" i="1"/>
  <c r="G25" i="1"/>
  <c r="E25" i="1"/>
  <c r="P24" i="1"/>
  <c r="M24" i="1"/>
  <c r="J24" i="1"/>
  <c r="G24" i="1"/>
  <c r="E24" i="1"/>
  <c r="P23" i="1"/>
  <c r="O23" i="1"/>
  <c r="N23" i="1"/>
  <c r="L23" i="1"/>
  <c r="M23" i="1" s="1"/>
  <c r="K23" i="1"/>
  <c r="I23" i="1"/>
  <c r="H23" i="1"/>
  <c r="J23" i="1" s="1"/>
  <c r="F23" i="1"/>
  <c r="D23" i="1"/>
  <c r="E23" i="1" s="1"/>
  <c r="C23" i="1"/>
  <c r="G23" i="1" s="1"/>
  <c r="P22" i="1"/>
  <c r="M22" i="1"/>
  <c r="J22" i="1"/>
  <c r="G22" i="1"/>
  <c r="E22" i="1"/>
  <c r="P21" i="1"/>
  <c r="M21" i="1"/>
  <c r="J21" i="1"/>
  <c r="G21" i="1"/>
  <c r="E21" i="1"/>
  <c r="P20" i="1"/>
  <c r="M20" i="1"/>
  <c r="J20" i="1"/>
  <c r="G20" i="1"/>
  <c r="E20" i="1"/>
  <c r="P19" i="1"/>
  <c r="M19" i="1"/>
  <c r="J19" i="1"/>
  <c r="G19" i="1"/>
  <c r="E19" i="1"/>
  <c r="P18" i="1"/>
  <c r="M18" i="1"/>
  <c r="J18" i="1"/>
  <c r="G18" i="1"/>
  <c r="E18" i="1"/>
  <c r="P17" i="1"/>
  <c r="M17" i="1"/>
  <c r="J17" i="1"/>
  <c r="G17" i="1"/>
  <c r="E17" i="1"/>
  <c r="P16" i="1"/>
  <c r="M16" i="1"/>
  <c r="J16" i="1"/>
  <c r="G16" i="1"/>
  <c r="E16" i="1"/>
  <c r="P15" i="1"/>
  <c r="M15" i="1"/>
  <c r="J15" i="1"/>
  <c r="G15" i="1"/>
  <c r="E15" i="1"/>
  <c r="P12" i="1"/>
  <c r="M12" i="1"/>
  <c r="J12" i="1"/>
  <c r="G12" i="1"/>
  <c r="E12" i="1"/>
  <c r="P11" i="1"/>
  <c r="M11" i="1"/>
  <c r="J11" i="1"/>
  <c r="G11" i="1"/>
  <c r="E11" i="1"/>
  <c r="P10" i="1"/>
  <c r="M10" i="1"/>
  <c r="J10" i="1"/>
  <c r="G10" i="1"/>
  <c r="E10" i="1"/>
  <c r="P9" i="1"/>
  <c r="M9" i="1"/>
  <c r="J9" i="1"/>
  <c r="G9" i="1"/>
  <c r="E9" i="1"/>
  <c r="P8" i="1"/>
  <c r="M8" i="1"/>
  <c r="J8" i="1"/>
  <c r="G8" i="1"/>
  <c r="E8" i="1"/>
  <c r="P7" i="1"/>
  <c r="M7" i="1"/>
  <c r="J7" i="1"/>
  <c r="G7" i="1"/>
  <c r="E7" i="1"/>
  <c r="P6" i="1"/>
  <c r="M6" i="1"/>
  <c r="J6" i="1"/>
  <c r="G6" i="1"/>
  <c r="E6" i="1"/>
  <c r="P5" i="1"/>
  <c r="M5" i="1"/>
  <c r="J5" i="1"/>
  <c r="G5" i="1"/>
  <c r="E5" i="1"/>
  <c r="P4" i="1"/>
  <c r="M4" i="1"/>
  <c r="J4" i="1"/>
  <c r="G4" i="1"/>
  <c r="E4" i="1"/>
  <c r="E33" i="1" l="1"/>
  <c r="O10" i="1"/>
  <c r="N10" i="1"/>
  <c r="O7" i="1"/>
  <c r="N7" i="1"/>
  <c r="O6" i="1"/>
  <c r="N6" i="1"/>
  <c r="O5" i="1"/>
  <c r="N5" i="1"/>
  <c r="O4" i="1"/>
  <c r="N4" i="1"/>
  <c r="K4" i="1"/>
  <c r="O11" i="1" l="1"/>
  <c r="N11" i="1"/>
  <c r="L11" i="1"/>
  <c r="K11" i="1"/>
  <c r="I11" i="1"/>
  <c r="H11" i="1"/>
  <c r="F11" i="1"/>
  <c r="D11" i="1"/>
  <c r="C11" i="1"/>
  <c r="L4" i="1"/>
  <c r="I4" i="1"/>
  <c r="H4" i="1"/>
  <c r="F4" i="1"/>
  <c r="D4" i="1"/>
  <c r="C4" i="1"/>
  <c r="L10" i="1" l="1"/>
  <c r="K10" i="1"/>
  <c r="I10" i="1"/>
  <c r="H10" i="1"/>
  <c r="F10" i="1"/>
  <c r="D10" i="1"/>
  <c r="C10" i="1"/>
  <c r="L7" i="1"/>
  <c r="K7" i="1"/>
  <c r="I7" i="1"/>
  <c r="H7" i="1"/>
  <c r="F7" i="1"/>
  <c r="D7" i="1"/>
  <c r="C7" i="1"/>
  <c r="L6" i="1"/>
  <c r="K6" i="1"/>
  <c r="I6" i="1"/>
  <c r="H6" i="1"/>
  <c r="F6" i="1"/>
  <c r="D6" i="1"/>
  <c r="C6" i="1"/>
  <c r="L5" i="1"/>
  <c r="K5" i="1"/>
  <c r="I5" i="1"/>
  <c r="H5" i="1"/>
  <c r="F5" i="1"/>
  <c r="D5" i="1"/>
  <c r="C5" i="1"/>
  <c r="C8" i="1"/>
  <c r="C12" i="1" l="1"/>
  <c r="L95" i="1" l="1"/>
  <c r="K95" i="1"/>
  <c r="L94" i="1"/>
  <c r="K94" i="1"/>
  <c r="L93" i="1"/>
  <c r="K93" i="1"/>
  <c r="L92" i="1"/>
  <c r="K92" i="1"/>
  <c r="L91" i="1"/>
  <c r="K91" i="1"/>
  <c r="L90" i="1"/>
  <c r="K90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2" i="1"/>
  <c r="K72" i="1"/>
  <c r="L71" i="1"/>
  <c r="K71" i="1"/>
  <c r="L70" i="1"/>
  <c r="K70" i="1"/>
  <c r="L69" i="1"/>
  <c r="K69" i="1"/>
  <c r="L68" i="1"/>
  <c r="K68" i="1"/>
  <c r="L64" i="1"/>
  <c r="K64" i="1"/>
  <c r="L63" i="1"/>
  <c r="K63" i="1"/>
  <c r="L62" i="1"/>
  <c r="K62" i="1"/>
  <c r="L61" i="1"/>
  <c r="K61" i="1"/>
  <c r="L60" i="1"/>
  <c r="K60" i="1"/>
  <c r="L59" i="1"/>
  <c r="K59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1" i="1"/>
  <c r="K41" i="1"/>
  <c r="L40" i="1"/>
  <c r="K40" i="1"/>
  <c r="L39" i="1"/>
  <c r="K39" i="1"/>
  <c r="L38" i="1"/>
  <c r="K38" i="1"/>
  <c r="L37" i="1"/>
  <c r="K37" i="1"/>
  <c r="L32" i="1"/>
  <c r="K32" i="1"/>
  <c r="L31" i="1"/>
  <c r="K31" i="1"/>
  <c r="L27" i="1"/>
  <c r="K27" i="1"/>
  <c r="L26" i="1"/>
  <c r="K26" i="1"/>
  <c r="L25" i="1"/>
  <c r="K25" i="1"/>
  <c r="L24" i="1"/>
  <c r="K24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O15" i="1"/>
  <c r="N15" i="1"/>
  <c r="L15" i="1"/>
  <c r="K15" i="1"/>
  <c r="O9" i="1"/>
  <c r="N9" i="1"/>
  <c r="L9" i="1"/>
  <c r="K9" i="1"/>
  <c r="O8" i="1"/>
  <c r="O12" i="1" s="1"/>
  <c r="N8" i="1"/>
  <c r="N12" i="1" s="1"/>
  <c r="L8" i="1"/>
  <c r="L12" i="1" s="1"/>
  <c r="K8" i="1"/>
  <c r="K12" i="1" s="1"/>
  <c r="O95" i="1"/>
  <c r="N95" i="1"/>
  <c r="O94" i="1"/>
  <c r="N94" i="1"/>
  <c r="O93" i="1"/>
  <c r="N93" i="1"/>
  <c r="O92" i="1"/>
  <c r="N92" i="1"/>
  <c r="O91" i="1"/>
  <c r="N91" i="1"/>
  <c r="O90" i="1"/>
  <c r="N90" i="1"/>
  <c r="O88" i="1"/>
  <c r="N88" i="1"/>
  <c r="O87" i="1"/>
  <c r="N87" i="1"/>
  <c r="O86" i="1"/>
  <c r="N86" i="1"/>
  <c r="O85" i="1"/>
  <c r="N85" i="1"/>
  <c r="O84" i="1"/>
  <c r="N84" i="1"/>
  <c r="O83" i="1"/>
  <c r="N83" i="1"/>
  <c r="O82" i="1"/>
  <c r="N82" i="1"/>
  <c r="O80" i="1"/>
  <c r="N80" i="1"/>
  <c r="O79" i="1"/>
  <c r="N79" i="1"/>
  <c r="O78" i="1"/>
  <c r="N78" i="1"/>
  <c r="O77" i="1"/>
  <c r="N77" i="1"/>
  <c r="O76" i="1"/>
  <c r="N76" i="1"/>
  <c r="O75" i="1"/>
  <c r="N75" i="1"/>
  <c r="O74" i="1"/>
  <c r="N74" i="1"/>
  <c r="O72" i="1"/>
  <c r="N72" i="1"/>
  <c r="O71" i="1"/>
  <c r="N71" i="1"/>
  <c r="O70" i="1"/>
  <c r="N70" i="1"/>
  <c r="O69" i="1"/>
  <c r="N69" i="1"/>
  <c r="O68" i="1"/>
  <c r="N68" i="1"/>
  <c r="O64" i="1"/>
  <c r="N64" i="1"/>
  <c r="O63" i="1"/>
  <c r="N63" i="1"/>
  <c r="O62" i="1"/>
  <c r="N62" i="1"/>
  <c r="O61" i="1"/>
  <c r="N61" i="1"/>
  <c r="O60" i="1"/>
  <c r="N60" i="1"/>
  <c r="O59" i="1"/>
  <c r="N59" i="1"/>
  <c r="O57" i="1"/>
  <c r="N57" i="1"/>
  <c r="O56" i="1"/>
  <c r="N56" i="1"/>
  <c r="O55" i="1"/>
  <c r="N55" i="1"/>
  <c r="O54" i="1"/>
  <c r="N54" i="1"/>
  <c r="O53" i="1"/>
  <c r="N53" i="1"/>
  <c r="O52" i="1"/>
  <c r="N52" i="1"/>
  <c r="O51" i="1"/>
  <c r="N51" i="1"/>
  <c r="O49" i="1"/>
  <c r="N49" i="1"/>
  <c r="O48" i="1"/>
  <c r="N48" i="1"/>
  <c r="O47" i="1"/>
  <c r="N47" i="1"/>
  <c r="O46" i="1"/>
  <c r="N46" i="1"/>
  <c r="O45" i="1"/>
  <c r="N45" i="1"/>
  <c r="O44" i="1"/>
  <c r="N44" i="1"/>
  <c r="O43" i="1"/>
  <c r="N43" i="1"/>
  <c r="O41" i="1"/>
  <c r="N41" i="1"/>
  <c r="O40" i="1"/>
  <c r="N40" i="1"/>
  <c r="O39" i="1"/>
  <c r="N39" i="1"/>
  <c r="O38" i="1"/>
  <c r="N38" i="1"/>
  <c r="O37" i="1"/>
  <c r="N37" i="1"/>
  <c r="O32" i="1"/>
  <c r="N32" i="1"/>
  <c r="O31" i="1"/>
  <c r="N31" i="1"/>
  <c r="O27" i="1"/>
  <c r="N27" i="1"/>
  <c r="O26" i="1"/>
  <c r="N26" i="1"/>
  <c r="O25" i="1"/>
  <c r="N25" i="1"/>
  <c r="O24" i="1"/>
  <c r="N24" i="1"/>
  <c r="O22" i="1"/>
  <c r="N22" i="1"/>
  <c r="O21" i="1"/>
  <c r="N21" i="1"/>
  <c r="O20" i="1"/>
  <c r="N20" i="1"/>
  <c r="O19" i="1"/>
  <c r="N19" i="1"/>
  <c r="O18" i="1"/>
  <c r="N18" i="1"/>
  <c r="O17" i="1"/>
  <c r="N17" i="1"/>
  <c r="O16" i="1"/>
  <c r="N16" i="1"/>
  <c r="I95" i="1"/>
  <c r="H95" i="1"/>
  <c r="I94" i="1"/>
  <c r="H94" i="1"/>
  <c r="I93" i="1"/>
  <c r="H93" i="1"/>
  <c r="I92" i="1"/>
  <c r="H92" i="1"/>
  <c r="I91" i="1"/>
  <c r="H91" i="1"/>
  <c r="I90" i="1"/>
  <c r="H90" i="1"/>
  <c r="I88" i="1"/>
  <c r="H88" i="1"/>
  <c r="I87" i="1"/>
  <c r="H87" i="1"/>
  <c r="I86" i="1"/>
  <c r="H86" i="1"/>
  <c r="I85" i="1"/>
  <c r="H85" i="1"/>
  <c r="I84" i="1"/>
  <c r="H84" i="1"/>
  <c r="I83" i="1"/>
  <c r="H83" i="1"/>
  <c r="I82" i="1"/>
  <c r="H82" i="1"/>
  <c r="I80" i="1"/>
  <c r="H80" i="1"/>
  <c r="I79" i="1"/>
  <c r="H79" i="1"/>
  <c r="I78" i="1"/>
  <c r="H78" i="1"/>
  <c r="I77" i="1"/>
  <c r="H77" i="1"/>
  <c r="I76" i="1"/>
  <c r="H76" i="1"/>
  <c r="I75" i="1"/>
  <c r="H75" i="1"/>
  <c r="I74" i="1"/>
  <c r="H74" i="1"/>
  <c r="I72" i="1"/>
  <c r="H72" i="1"/>
  <c r="I71" i="1"/>
  <c r="H71" i="1"/>
  <c r="I70" i="1"/>
  <c r="H70" i="1"/>
  <c r="I69" i="1"/>
  <c r="H69" i="1"/>
  <c r="I68" i="1"/>
  <c r="H68" i="1"/>
  <c r="I64" i="1"/>
  <c r="H64" i="1"/>
  <c r="I63" i="1"/>
  <c r="H63" i="1"/>
  <c r="I62" i="1"/>
  <c r="H62" i="1"/>
  <c r="I61" i="1"/>
  <c r="H61" i="1"/>
  <c r="I60" i="1"/>
  <c r="H60" i="1"/>
  <c r="I59" i="1"/>
  <c r="H59" i="1"/>
  <c r="I57" i="1"/>
  <c r="H57" i="1"/>
  <c r="I56" i="1"/>
  <c r="H56" i="1"/>
  <c r="I55" i="1"/>
  <c r="H55" i="1"/>
  <c r="I54" i="1"/>
  <c r="H54" i="1"/>
  <c r="I53" i="1"/>
  <c r="H53" i="1"/>
  <c r="I52" i="1"/>
  <c r="H52" i="1"/>
  <c r="I51" i="1"/>
  <c r="H51" i="1"/>
  <c r="I49" i="1"/>
  <c r="H49" i="1"/>
  <c r="I48" i="1"/>
  <c r="H48" i="1"/>
  <c r="I47" i="1"/>
  <c r="H47" i="1"/>
  <c r="I46" i="1"/>
  <c r="H46" i="1"/>
  <c r="I45" i="1"/>
  <c r="H45" i="1"/>
  <c r="I44" i="1"/>
  <c r="H44" i="1"/>
  <c r="I43" i="1"/>
  <c r="H43" i="1"/>
  <c r="I41" i="1"/>
  <c r="H41" i="1"/>
  <c r="I40" i="1"/>
  <c r="H40" i="1"/>
  <c r="I39" i="1"/>
  <c r="H39" i="1"/>
  <c r="I38" i="1"/>
  <c r="H38" i="1"/>
  <c r="I37" i="1"/>
  <c r="H37" i="1"/>
  <c r="I32" i="1"/>
  <c r="H32" i="1"/>
  <c r="I31" i="1"/>
  <c r="H31" i="1"/>
  <c r="I27" i="1"/>
  <c r="H27" i="1"/>
  <c r="I26" i="1"/>
  <c r="H26" i="1"/>
  <c r="I25" i="1"/>
  <c r="H25" i="1"/>
  <c r="I24" i="1"/>
  <c r="H24" i="1"/>
  <c r="I22" i="1"/>
  <c r="H22" i="1"/>
  <c r="I21" i="1"/>
  <c r="H21" i="1"/>
  <c r="I20" i="1"/>
  <c r="H20" i="1"/>
  <c r="I19" i="1"/>
  <c r="H19" i="1"/>
  <c r="I18" i="1"/>
  <c r="H18" i="1"/>
  <c r="I17" i="1"/>
  <c r="H17" i="1"/>
  <c r="I16" i="1"/>
  <c r="H16" i="1"/>
  <c r="I15" i="1"/>
  <c r="H15" i="1"/>
  <c r="I9" i="1"/>
  <c r="H9" i="1"/>
  <c r="I8" i="1"/>
  <c r="I12" i="1" s="1"/>
  <c r="H8" i="1"/>
  <c r="H12" i="1" s="1"/>
  <c r="F95" i="1"/>
  <c r="D95" i="1"/>
  <c r="C95" i="1"/>
  <c r="F94" i="1"/>
  <c r="D94" i="1"/>
  <c r="C94" i="1"/>
  <c r="F93" i="1"/>
  <c r="D93" i="1"/>
  <c r="C93" i="1"/>
  <c r="F92" i="1"/>
  <c r="D92" i="1"/>
  <c r="C92" i="1"/>
  <c r="F91" i="1"/>
  <c r="D91" i="1"/>
  <c r="C91" i="1"/>
  <c r="F90" i="1"/>
  <c r="D90" i="1"/>
  <c r="C90" i="1"/>
  <c r="F88" i="1"/>
  <c r="D88" i="1"/>
  <c r="C88" i="1"/>
  <c r="F87" i="1"/>
  <c r="D87" i="1"/>
  <c r="C87" i="1"/>
  <c r="F86" i="1"/>
  <c r="D86" i="1"/>
  <c r="C86" i="1"/>
  <c r="F85" i="1"/>
  <c r="D85" i="1"/>
  <c r="C85" i="1"/>
  <c r="F84" i="1"/>
  <c r="D84" i="1"/>
  <c r="C84" i="1"/>
  <c r="F83" i="1"/>
  <c r="D83" i="1"/>
  <c r="C83" i="1"/>
  <c r="F82" i="1"/>
  <c r="D82" i="1"/>
  <c r="C82" i="1"/>
  <c r="F80" i="1"/>
  <c r="D80" i="1"/>
  <c r="C80" i="1"/>
  <c r="F79" i="1"/>
  <c r="D79" i="1"/>
  <c r="C79" i="1"/>
  <c r="F78" i="1"/>
  <c r="D78" i="1"/>
  <c r="C78" i="1"/>
  <c r="F77" i="1"/>
  <c r="D77" i="1"/>
  <c r="C77" i="1"/>
  <c r="F76" i="1"/>
  <c r="D76" i="1"/>
  <c r="C76" i="1"/>
  <c r="F75" i="1"/>
  <c r="D75" i="1"/>
  <c r="C75" i="1"/>
  <c r="F74" i="1"/>
  <c r="D74" i="1"/>
  <c r="C74" i="1"/>
  <c r="F72" i="1"/>
  <c r="D72" i="1"/>
  <c r="C72" i="1"/>
  <c r="F71" i="1"/>
  <c r="D71" i="1"/>
  <c r="C71" i="1"/>
  <c r="F70" i="1"/>
  <c r="D70" i="1"/>
  <c r="C70" i="1"/>
  <c r="F69" i="1"/>
  <c r="D69" i="1"/>
  <c r="C69" i="1"/>
  <c r="F68" i="1"/>
  <c r="D68" i="1"/>
  <c r="C68" i="1"/>
  <c r="F64" i="1"/>
  <c r="D64" i="1"/>
  <c r="C64" i="1"/>
  <c r="F63" i="1"/>
  <c r="D63" i="1"/>
  <c r="C63" i="1"/>
  <c r="F62" i="1"/>
  <c r="D62" i="1"/>
  <c r="C62" i="1"/>
  <c r="F61" i="1"/>
  <c r="D61" i="1"/>
  <c r="C61" i="1"/>
  <c r="F60" i="1"/>
  <c r="D60" i="1"/>
  <c r="C60" i="1"/>
  <c r="F59" i="1"/>
  <c r="D59" i="1"/>
  <c r="C59" i="1"/>
  <c r="F57" i="1"/>
  <c r="D57" i="1"/>
  <c r="C57" i="1"/>
  <c r="F56" i="1"/>
  <c r="D56" i="1"/>
  <c r="C56" i="1"/>
  <c r="F55" i="1"/>
  <c r="D55" i="1"/>
  <c r="C55" i="1"/>
  <c r="F54" i="1"/>
  <c r="D54" i="1"/>
  <c r="C54" i="1"/>
  <c r="F53" i="1"/>
  <c r="D53" i="1"/>
  <c r="C53" i="1"/>
  <c r="F52" i="1"/>
  <c r="D52" i="1"/>
  <c r="C52" i="1"/>
  <c r="F51" i="1"/>
  <c r="D51" i="1"/>
  <c r="C51" i="1"/>
  <c r="F49" i="1"/>
  <c r="D49" i="1"/>
  <c r="C49" i="1"/>
  <c r="F48" i="1"/>
  <c r="D48" i="1"/>
  <c r="C48" i="1"/>
  <c r="F47" i="1"/>
  <c r="D47" i="1"/>
  <c r="C47" i="1"/>
  <c r="F46" i="1"/>
  <c r="D46" i="1"/>
  <c r="C46" i="1"/>
  <c r="F45" i="1"/>
  <c r="D45" i="1"/>
  <c r="C45" i="1"/>
  <c r="F44" i="1"/>
  <c r="D44" i="1"/>
  <c r="C44" i="1"/>
  <c r="F43" i="1"/>
  <c r="D43" i="1"/>
  <c r="C43" i="1"/>
  <c r="F41" i="1"/>
  <c r="D41" i="1"/>
  <c r="C41" i="1"/>
  <c r="F40" i="1"/>
  <c r="D40" i="1"/>
  <c r="C40" i="1"/>
  <c r="F39" i="1"/>
  <c r="D39" i="1"/>
  <c r="C39" i="1"/>
  <c r="F38" i="1"/>
  <c r="D38" i="1"/>
  <c r="C38" i="1"/>
  <c r="F37" i="1"/>
  <c r="D37" i="1"/>
  <c r="C37" i="1"/>
  <c r="F32" i="1"/>
  <c r="D32" i="1"/>
  <c r="C32" i="1"/>
  <c r="F31" i="1"/>
  <c r="D31" i="1"/>
  <c r="C31" i="1"/>
  <c r="F27" i="1"/>
  <c r="D27" i="1"/>
  <c r="C27" i="1"/>
  <c r="F26" i="1"/>
  <c r="D26" i="1"/>
  <c r="C26" i="1"/>
  <c r="F25" i="1"/>
  <c r="D25" i="1"/>
  <c r="C25" i="1"/>
  <c r="F24" i="1"/>
  <c r="D24" i="1"/>
  <c r="C24" i="1"/>
  <c r="F22" i="1"/>
  <c r="D22" i="1"/>
  <c r="C22" i="1"/>
  <c r="F21" i="1"/>
  <c r="D21" i="1"/>
  <c r="C21" i="1"/>
  <c r="F20" i="1"/>
  <c r="D20" i="1"/>
  <c r="C20" i="1"/>
  <c r="F19" i="1"/>
  <c r="D19" i="1"/>
  <c r="C19" i="1"/>
  <c r="F18" i="1"/>
  <c r="D18" i="1"/>
  <c r="C18" i="1"/>
  <c r="F17" i="1"/>
  <c r="D17" i="1"/>
  <c r="C17" i="1"/>
  <c r="F16" i="1"/>
  <c r="D16" i="1"/>
  <c r="C16" i="1"/>
  <c r="F15" i="1"/>
  <c r="D15" i="1"/>
  <c r="C15" i="1"/>
  <c r="F9" i="1"/>
  <c r="D9" i="1"/>
  <c r="C9" i="1"/>
  <c r="F8" i="1"/>
  <c r="F12" i="1" s="1"/>
  <c r="D8" i="1"/>
  <c r="D12" i="1" s="1"/>
  <c r="O28" i="1" l="1"/>
  <c r="N28" i="1"/>
  <c r="L28" i="1"/>
  <c r="K28" i="1"/>
  <c r="I28" i="1"/>
  <c r="F28" i="1"/>
  <c r="D28" i="1"/>
  <c r="C28" i="1"/>
  <c r="H28" i="1" l="1"/>
  <c r="A1" i="1" l="1"/>
</calcChain>
</file>

<file path=xl/sharedStrings.xml><?xml version="1.0" encoding="utf-8"?>
<sst xmlns="http://schemas.openxmlformats.org/spreadsheetml/2006/main" count="1465" uniqueCount="1432">
  <si>
    <t>FY</t>
  </si>
  <si>
    <t>TW</t>
  </si>
  <si>
    <t>LW</t>
  </si>
  <si>
    <t>% WoW</t>
  </si>
  <si>
    <t>TW LY</t>
  </si>
  <si>
    <t>% YoY</t>
  </si>
  <si>
    <t>MTD</t>
  </si>
  <si>
    <t>MTD LY</t>
  </si>
  <si>
    <t>%YoY</t>
  </si>
  <si>
    <t>FY LY</t>
  </si>
  <si>
    <t>YoY%</t>
  </si>
  <si>
    <t>Sales</t>
  </si>
  <si>
    <t>Confirmed bookings</t>
  </si>
  <si>
    <t>Confirmed bookings (excluding flight only)</t>
  </si>
  <si>
    <t>Call centre</t>
  </si>
  <si>
    <t>Online</t>
  </si>
  <si>
    <t>% bookings online</t>
  </si>
  <si>
    <t>PAX booked</t>
  </si>
  <si>
    <t>Sales revenue</t>
  </si>
  <si>
    <t>Sales revenue (excluding flight only)</t>
  </si>
  <si>
    <t>ABV (excluding flight only)</t>
  </si>
  <si>
    <t>Aviation</t>
  </si>
  <si>
    <t>Committed seats sold</t>
  </si>
  <si>
    <t>Ad-hoc seats sold</t>
  </si>
  <si>
    <t>% seats committed</t>
  </si>
  <si>
    <t>Source</t>
  </si>
  <si>
    <t>Past client</t>
  </si>
  <si>
    <t>New client</t>
  </si>
  <si>
    <t>Agent (UK)</t>
  </si>
  <si>
    <t>Agent (Overseas)</t>
  </si>
  <si>
    <t>Segment</t>
  </si>
  <si>
    <t>Pre-school family</t>
  </si>
  <si>
    <t>Young family</t>
  </si>
  <si>
    <t>Older family</t>
  </si>
  <si>
    <t>Young couple</t>
  </si>
  <si>
    <t>Older couple</t>
  </si>
  <si>
    <t>Adult group</t>
  </si>
  <si>
    <t>Destination</t>
  </si>
  <si>
    <t>Greece</t>
  </si>
  <si>
    <t>Spain</t>
  </si>
  <si>
    <t>Italy</t>
  </si>
  <si>
    <t>Corsica</t>
  </si>
  <si>
    <t>Turkey</t>
  </si>
  <si>
    <t>France (excluding Aquitaine)</t>
  </si>
  <si>
    <t>France</t>
  </si>
  <si>
    <t>May</t>
  </si>
  <si>
    <t>June</t>
  </si>
  <si>
    <t>July</t>
  </si>
  <si>
    <t>Aug</t>
  </si>
  <si>
    <t>Sep</t>
  </si>
  <si>
    <t>Oct</t>
  </si>
  <si>
    <t>New</t>
  </si>
  <si>
    <t>Online bookings</t>
  </si>
  <si>
    <t>Other</t>
  </si>
  <si>
    <t>Booking analysis (excluding flight only)</t>
  </si>
  <si>
    <t>Revenue analysis (excluding flight only)</t>
  </si>
  <si>
    <t>Departure month (total)</t>
  </si>
  <si>
    <t>Confirmed bookings (departure year)</t>
  </si>
  <si>
    <t>Sales revenue (departure year)</t>
  </si>
  <si>
    <t>UID</t>
  </si>
  <si>
    <t>dDate</t>
  </si>
  <si>
    <t>dMonth</t>
  </si>
  <si>
    <t>dYear</t>
  </si>
  <si>
    <t>DayNameShort</t>
  </si>
  <si>
    <t>DayNameLong</t>
  </si>
  <si>
    <t>MonthNameShort</t>
  </si>
  <si>
    <t>MonthNameLong</t>
  </si>
  <si>
    <t>DayOfWeekNo</t>
  </si>
  <si>
    <t>WeekNo</t>
  </si>
  <si>
    <t>DayOfMonthNo</t>
  </si>
  <si>
    <t>DayOfYearNo</t>
  </si>
  <si>
    <t>WeekCommencing</t>
  </si>
  <si>
    <t>WeekEnding</t>
  </si>
  <si>
    <t>FinancialYear</t>
  </si>
  <si>
    <t>UID_LY</t>
  </si>
  <si>
    <t>FinancialYear_LY</t>
  </si>
  <si>
    <t>ST_WeekCommencing</t>
  </si>
  <si>
    <t>WeekCommencingFlag</t>
  </si>
  <si>
    <t>UseFlag</t>
  </si>
  <si>
    <t>ST_ISOWeekOfISOYear_TW</t>
  </si>
  <si>
    <t>ST_ISOWeekOfISOYear_LW</t>
  </si>
  <si>
    <t>ST_ISOWeekOfISOYear_LY</t>
  </si>
  <si>
    <t>ST_MonthOfYear_TY</t>
  </si>
  <si>
    <t>ST_MonthOfYear_LY</t>
  </si>
  <si>
    <t>ST_FinancialYear_TY</t>
  </si>
  <si>
    <t>ST_FinancialYear_LY</t>
  </si>
  <si>
    <t>Microsoft.OleDb.Date</t>
  </si>
  <si>
    <t>Mon</t>
  </si>
  <si>
    <t>Monday</t>
  </si>
  <si>
    <t>DY</t>
  </si>
  <si>
    <t>DY LY</t>
  </si>
  <si>
    <t>Marketing</t>
  </si>
  <si>
    <t>Web traffic</t>
  </si>
  <si>
    <t>PPC</t>
  </si>
  <si>
    <t>Organic</t>
  </si>
  <si>
    <t>Email</t>
  </si>
  <si>
    <t>Online conversions</t>
  </si>
  <si>
    <t>Online PPC conversions</t>
  </si>
  <si>
    <t>Tracked PPC enquiry phone calls</t>
  </si>
  <si>
    <t>Cost per online conversion</t>
  </si>
  <si>
    <t>PPC spend</t>
  </si>
  <si>
    <t>Enquiries</t>
  </si>
  <si>
    <t>Live options</t>
  </si>
  <si>
    <t>Live option value</t>
  </si>
  <si>
    <t>August</t>
  </si>
  <si>
    <t>DepartureYearTY.ConfirmedBookingTotal</t>
  </si>
  <si>
    <t>DepartureYearTY.ConfirmedRevenueTotal</t>
  </si>
  <si>
    <t>DepartureYearTY.QuotedBooking</t>
  </si>
  <si>
    <t>DepartureYearTY.OptionedBooking</t>
  </si>
  <si>
    <t>DepartureYearTY.EnquiryBookingSalesCentre</t>
  </si>
  <si>
    <t>DepartureYearTY.LiveOptionBooking</t>
  </si>
  <si>
    <t>DepartureYearTY.LiveOptionRevenue</t>
  </si>
  <si>
    <t>DepartureYearTY.ConfirmedPAXCount</t>
  </si>
  <si>
    <t>DepartureYearTY.ConfirmedCommittedFlightSeatsCount</t>
  </si>
  <si>
    <t>DepartureYearTY.ConfirmedAdHocFlightSeatsCount</t>
  </si>
  <si>
    <t>DepartureYearTY.ConfirmedBookingTotalExcludingFO</t>
  </si>
  <si>
    <t>DepartureYearTY.ConfirmedRevenueTotalExcludingFO</t>
  </si>
  <si>
    <t>DepartureYearTY.ConfirmedBookingSalesCentreExcludingFO</t>
  </si>
  <si>
    <t>DepartureYearTY.ConfirmedBookingWebsiteExcludingFO</t>
  </si>
  <si>
    <t>DepartureYearTY.ConfirmedRevenueSalesCentreExcludingFO</t>
  </si>
  <si>
    <t>DepartureYearTY.ConfirmedRevenueWebsiteExcludingFO</t>
  </si>
  <si>
    <t>DepartureYearTY.ConfirmedBookingPastClientExcludingFO</t>
  </si>
  <si>
    <t>DepartureYearTY.ConfirmedBookingNewClientExcludingFO</t>
  </si>
  <si>
    <t>DepartureYearTY.ConfirmedBookingUKAgent</t>
  </si>
  <si>
    <t>DepartureYearTY.ConfirmedBookingOverseasAgent</t>
  </si>
  <si>
    <t>DepartureYearTY.ConfirmedBookingPreschoolSegmentExcludingFO</t>
  </si>
  <si>
    <t>DepartureYearTY.ConfirmedBookingYoungFamilySegmentExcludingFO</t>
  </si>
  <si>
    <t>DepartureYearTY.ConfirmedBookingOlderFamilySegmentExcludingFO</t>
  </si>
  <si>
    <t>DepartureYearTY.ConfirmedBookingYoungCoupleSegmentExcludingFO</t>
  </si>
  <si>
    <t>DepartureYearTY.ConfirmedBookingOlderCoupleSegmentExcludingFO</t>
  </si>
  <si>
    <t>DepartureYearTY.ConfirmedBookingAdultGroupSegmentExcludingFO</t>
  </si>
  <si>
    <t>DepartureYearTY.ConfirmedBookingOtherSegmentExcludingFO</t>
  </si>
  <si>
    <t>DepartureYearTY.ConfirmedBookingGreeceExcludingFO</t>
  </si>
  <si>
    <t>DepartureYearTY.ConfirmedBookingMallorcaExcludingFO</t>
  </si>
  <si>
    <t>DepartureYearTY.ConfirmedBookingItalyExcludingFO</t>
  </si>
  <si>
    <t>DepartureYearTY.ConfirmedBookingCorsicaExcludingFO</t>
  </si>
  <si>
    <t>DepartureYearTY.ConfirmedBookingTurkeyExcludingFO</t>
  </si>
  <si>
    <t>DepartureYearTY.ConfirmedBookingFranceExcludingAquitaineExcludingFO</t>
  </si>
  <si>
    <t>DepartureYearTY.ConfirmedBookingFranceExcludingFO</t>
  </si>
  <si>
    <t>DepartureYearTY.ConfirmedBookingMayDepartureExcludingFO</t>
  </si>
  <si>
    <t>DepartureYearTY.ConfirmedBookingJuneDepartureExcludingFO</t>
  </si>
  <si>
    <t>DepartureYearTY.ConfirmedBookingJulyDepartureExcludingFO</t>
  </si>
  <si>
    <t>DepartureYearTY.ConfirmedBookingAugustDepartureExcludingFO</t>
  </si>
  <si>
    <t>DepartureYearTY.ConfirmedBookingSeptemberDepartureExcludingFO</t>
  </si>
  <si>
    <t>DepartureYearTY.ConfirmedBookingOctoberDepartureExcludingFO</t>
  </si>
  <si>
    <t>DepartureYearTY.ConfirmedRevenuePastClientExcludingFO</t>
  </si>
  <si>
    <t>DepartureYearTY.ConfirmedRevenueNewClientExcludingFO</t>
  </si>
  <si>
    <t>DepartureYearTY.ConfirmedRevenueUKAgent</t>
  </si>
  <si>
    <t>DepartureYearTY.ConfirmedRevenueOverseasAgent</t>
  </si>
  <si>
    <t>DepartureYearTY.ConfirmedRevenuePreschoolSegmentExcludingFO</t>
  </si>
  <si>
    <t>DepartureYearTY.ConfirmedRevenueYoungFamilySegmentExcludingFO</t>
  </si>
  <si>
    <t>DepartureYearTY.ConfirmedRevenueOlderFamilySegmentExcludingFO</t>
  </si>
  <si>
    <t>DepartureYearTY.ConfirmedRevenueYoungCoupleSegmentExcludingFO</t>
  </si>
  <si>
    <t>DepartureYearTY.ConfirmedRevenueOlderCoupleSegmentExcludingFO</t>
  </si>
  <si>
    <t>DepartureYearTY.ConfirmedRevenueAdultGroupSegmentExcludingFO</t>
  </si>
  <si>
    <t>DepartureYearTY.ConfirmedRevenueOtherSegmentExcludingFO</t>
  </si>
  <si>
    <t>DepartureYearTY.ConfirmedRevenueGreeceExcludingFO</t>
  </si>
  <si>
    <t>DepartureYearTY.ConfirmedRevenueMallorcaExcludingFO</t>
  </si>
  <si>
    <t>DepartureYearTY.ConfirmedRevenueItalyExcludingFO</t>
  </si>
  <si>
    <t>DepartureYearTY.ConfirmedRevenueCorsicaExcludingFO</t>
  </si>
  <si>
    <t>DepartureYearTY.ConfirmedRevenueTurkeyExcludingFO</t>
  </si>
  <si>
    <t>DepartureYearTY.ConfirmedRevenueFranceExcludingAquitaineExcludingFO</t>
  </si>
  <si>
    <t>DepartureYearTY.ConfirmedRevenueFranceExcludingFO</t>
  </si>
  <si>
    <t>DepartureYearTY.ConfirmedRevenueMayDepartureExcludingFO</t>
  </si>
  <si>
    <t>DepartureYearTY.ConfirmedRevenueJuneDepartureExcludingFO</t>
  </si>
  <si>
    <t>DepartureYearTY.ConfirmedRevenueJulyDepartureExcludingFO</t>
  </si>
  <si>
    <t>DepartureYearTY.ConfirmedRevenueAugustDepartureExcludingFO</t>
  </si>
  <si>
    <t>DepartureYearTY.ConfirmedRevenueSeptemberDepartureExcludingFO</t>
  </si>
  <si>
    <t>DepartureYearTY.ConfirmedRevenueOctoberDepartureExcludingFO</t>
  </si>
  <si>
    <t>DepartureYearTY.ConfirmedBookingTotalDepartureYear</t>
  </si>
  <si>
    <t>DepartureYearTY.ConfirmedRevenueTotalDepartureYear</t>
  </si>
  <si>
    <t>DepartureYearTY.QuotedBookingDepartureYear</t>
  </si>
  <si>
    <t>DepartureYearTY.OptionedBookingDepartureYear</t>
  </si>
  <si>
    <t>DepartureYearTY.EnquiryBookingSalesCentreDepartureYear</t>
  </si>
  <si>
    <t>DepartureYearTY.LiveOptionBookingDepartureYear</t>
  </si>
  <si>
    <t>DepartureYearTY.LiveOptionRevenueDepartureYear</t>
  </si>
  <si>
    <t>DepartureYearTY.ConfirmedPAXCountDepartureYear</t>
  </si>
  <si>
    <t>DepartureYearTY.ConfirmedCommittedFlightSeatsCountDepartureYear</t>
  </si>
  <si>
    <t>DepartureYearTY.ConfirmedAdHocFlightSeatsCountDepartureYear</t>
  </si>
  <si>
    <t>DepartureYearTY.ConfirmedBookingTotalExcludingFODepartureYear</t>
  </si>
  <si>
    <t>DepartureYearTY.ConfirmedRevenueTotalExcludingFODepartureYear</t>
  </si>
  <si>
    <t>DepartureYearTY.ConfirmedBookingSalesCentreExcludingFODepartureYear</t>
  </si>
  <si>
    <t>DepartureYearTY.ConfirmedBookingWebsiteExcludingFODepartureYear</t>
  </si>
  <si>
    <t>DepartureYearTY.ConfirmedRevenueSalesCentreExcludingFODepartureYear</t>
  </si>
  <si>
    <t>DepartureYearTY.ConfirmedRevenueWebsiteExcludingFODepartureYear</t>
  </si>
  <si>
    <t>DepartureYearTY.ConfirmedBookingPastClientExcludingFODepartureYear</t>
  </si>
  <si>
    <t>DepartureYearTY.ConfirmedBookingNewClientExcludingFODepartureYear</t>
  </si>
  <si>
    <t>DepartureYearTY.ConfirmedBookingUKAgentDepartureYear</t>
  </si>
  <si>
    <t>DepartureYearTY.ConfirmedBookingOverseasAgentDepartureYear</t>
  </si>
  <si>
    <t>DepartureYearTY.ConfirmedBookingPreschoolSegmentExcludingFODepartureYear</t>
  </si>
  <si>
    <t>DepartureYearTY.ConfirmedBookingYoungFamilySegmentExcludingFODepartureYear</t>
  </si>
  <si>
    <t>DepartureYearTY.ConfirmedBookingOlderFamilySegmentExcludingFODepartureYear</t>
  </si>
  <si>
    <t>DepartureYearTY.ConfirmedBookingYoungCoupleSegmentExcludingFODepartureYear</t>
  </si>
  <si>
    <t>DepartureYearTY.ConfirmedBookingOlderCoupleSegmentExcludingFODepartureYear</t>
  </si>
  <si>
    <t>DepartureYearTY.ConfirmedBookingAdultGroupSegmentExcludingFODepartureYear</t>
  </si>
  <si>
    <t>DepartureYearTY.ConfirmedBookingOtherSegmentExcludingFODepartureYear</t>
  </si>
  <si>
    <t>DepartureYearTY.ConfirmedBookingGreeceExcludingFODepartureYear</t>
  </si>
  <si>
    <t>DepartureYearTY.ConfirmedBookingMallorcaExcludingFODepartureYear</t>
  </si>
  <si>
    <t>DepartureYearTY.ConfirmedBookingItalyExcludingFODepartureYear</t>
  </si>
  <si>
    <t>DepartureYearTY.ConfirmedBookingCorsicaExcludingFODepartureYear</t>
  </si>
  <si>
    <t>DepartureYearTY.ConfirmedBookingTurkeyExcludingFODepartureYear</t>
  </si>
  <si>
    <t>DepartureYearTY.ConfirmedBookingFranceExcludingAquitaineExcludingFODepartureYear</t>
  </si>
  <si>
    <t>DepartureYearTY.ConfirmedBookingFranceExcludingFODepartureYear</t>
  </si>
  <si>
    <t>DepartureYearTY.ConfirmedBookingMayDepartureExcludingFODepartureYear</t>
  </si>
  <si>
    <t>DepartureYearTY.ConfirmedBookingJuneDepartureExcludingFODepartureYear</t>
  </si>
  <si>
    <t>DepartureYearTY.ConfirmedBookingJulyDepartureExcludingFODepartureYear</t>
  </si>
  <si>
    <t>DepartureYearTY.ConfirmedBookingAugustDepartureExcludingFODepartureYear</t>
  </si>
  <si>
    <t>DepartureYearTY.ConfirmedBookingSeptemberDepartureExcludingFODepartureYear</t>
  </si>
  <si>
    <t>DepartureYearTY.ConfirmedBookingOctoberDepartureExcludingFODepartureYear</t>
  </si>
  <si>
    <t>DepartureYearTY.ConfirmedRevenuePastClientExcludingFODepartureYear</t>
  </si>
  <si>
    <t>DepartureYearTY.ConfirmedRevenueNewClientExcludingFODepartureYear</t>
  </si>
  <si>
    <t>DepartureYearTY.ConfirmedRevenueUKAgentDepartureYear</t>
  </si>
  <si>
    <t>DepartureYearTY.ConfirmedRevenueOverseasAgentDepartureYear</t>
  </si>
  <si>
    <t>DepartureYearTY.ConfirmedRevenuePreschoolSegmentExcludingFODepartureYear</t>
  </si>
  <si>
    <t>DepartureYearTY.ConfirmedRevenueYoungFamilySegmentExcludingFODepartureYear</t>
  </si>
  <si>
    <t>DepartureYearTY.ConfirmedRevenueOlderFamilySegmentExcludingFODepartureYear</t>
  </si>
  <si>
    <t>DepartureYearTY.ConfirmedRevenueYoungCoupleSegmentExcludingFODepartureYear</t>
  </si>
  <si>
    <t>DepartureYearTY.ConfirmedRevenueOlderCoupleSegmentExcludingFODepartureYear</t>
  </si>
  <si>
    <t>DepartureYearTY.ConfirmedRevenueAdultGroupSegmentExcludingFODepartureYear</t>
  </si>
  <si>
    <t>DepartureYearTY.ConfirmedRevenueOtherSegmentExcludingFODepartureYear</t>
  </si>
  <si>
    <t>DepartureYearTY.ConfirmedRevenueGreeceExcludingFODepartureYear</t>
  </si>
  <si>
    <t>DepartureYearTY.ConfirmedRevenueMallorcaExcludingFODepartureYear</t>
  </si>
  <si>
    <t>DepartureYearTY.ConfirmedRevenueItalyExcludingFODepartureYear</t>
  </si>
  <si>
    <t>DepartureYearTY.ConfirmedRevenueCorsicaExcludingFODepartureYear</t>
  </si>
  <si>
    <t>DepartureYearTY.ConfirmedRevenueTurkeyExcludingFODepartureYear</t>
  </si>
  <si>
    <t>DepartureYearTY.ConfirmedRevenueFranceExcludingAquitaineExcludingFODepartureYear</t>
  </si>
  <si>
    <t>DepartureYearTY.ConfirmedRevenueFranceExcludingFODepartureYear</t>
  </si>
  <si>
    <t>DepartureYearTY.ConfirmedRevenueMayDepartureExcludingFODepartureYear</t>
  </si>
  <si>
    <t>DepartureYearTY.ConfirmedRevenueJuneDepartureExcludingFODepartureYear</t>
  </si>
  <si>
    <t>DepartureYearTY.ConfirmedRevenueJulyDepartureExcludingFODepartureYear</t>
  </si>
  <si>
    <t>DepartureYearTY.ConfirmedRevenueAugustDepartureExcludingFODepartureYear</t>
  </si>
  <si>
    <t>DepartureYearTY.ConfirmedRevenueSeptemberDepartureExcludingFODepartureYear</t>
  </si>
  <si>
    <t>DepartureYearTY.ConfirmedRevenueOctoberDepartureExcludingFODepartureYear</t>
  </si>
  <si>
    <t>DepartureYearLY.ConfirmedBookingTotal</t>
  </si>
  <si>
    <t>DepartureYearLY.ConfirmedRevenueTotal</t>
  </si>
  <si>
    <t>DepartureYearLY.QuotedBooking</t>
  </si>
  <si>
    <t>DepartureYearLY.OptionedBooking</t>
  </si>
  <si>
    <t>DepartureYearLY.EnquiryBookingSalesCentre</t>
  </si>
  <si>
    <t>DepartureYearLY.LiveOptionBooking</t>
  </si>
  <si>
    <t>DepartureYearLY.LiveOptionRevenue</t>
  </si>
  <si>
    <t>DepartureYearLY.ConfirmedPAXCount</t>
  </si>
  <si>
    <t>DepartureYearLY.ConfirmedCommittedFlightSeatsCount</t>
  </si>
  <si>
    <t>DepartureYearLY.ConfirmedAdHocFlightSeatsCount</t>
  </si>
  <si>
    <t>DepartureYearLY.ConfirmedBookingTotalExcludingFO</t>
  </si>
  <si>
    <t>DepartureYearLY.ConfirmedRevenueTotalExcludingFO</t>
  </si>
  <si>
    <t>DepartureYearLY.ConfirmedBookingSalesCentreExcludingFO</t>
  </si>
  <si>
    <t>DepartureYearLY.ConfirmedBookingWebsiteExcludingFO</t>
  </si>
  <si>
    <t>DepartureYearLY.ConfirmedRevenueSalesCentreExcludingFO</t>
  </si>
  <si>
    <t>DepartureYearLY.ConfirmedRevenueWebsiteExcludingFO</t>
  </si>
  <si>
    <t>DepartureYearLY.ConfirmedBookingPastClientExcludingFO</t>
  </si>
  <si>
    <t>DepartureYearLY.ConfirmedBookingNewClientExcludingFO</t>
  </si>
  <si>
    <t>DepartureYearLY.ConfirmedBookingUKAgent</t>
  </si>
  <si>
    <t>DepartureYearLY.ConfirmedBookingOverseasAgent</t>
  </si>
  <si>
    <t>DepartureYearLY.ConfirmedBookingPreschoolSegmentExcludingFO</t>
  </si>
  <si>
    <t>DepartureYearLY.ConfirmedBookingYoungFamilySegmentExcludingFO</t>
  </si>
  <si>
    <t>DepartureYearLY.ConfirmedBookingOlderFamilySegmentExcludingFO</t>
  </si>
  <si>
    <t>DepartureYearLY.ConfirmedBookingYoungCoupleSegmentExcludingFO</t>
  </si>
  <si>
    <t>DepartureYearLY.ConfirmedBookingOlderCoupleSegmentExcludingFO</t>
  </si>
  <si>
    <t>DepartureYearLY.ConfirmedBookingAdultGroupSegmentExcludingFO</t>
  </si>
  <si>
    <t>DepartureYearLY.ConfirmedBookingOtherSegmentExcludingFO</t>
  </si>
  <si>
    <t>DepartureYearLY.ConfirmedBookingGreeceExcludingFO</t>
  </si>
  <si>
    <t>DepartureYearLY.ConfirmedBookingMallorcaExcludingFO</t>
  </si>
  <si>
    <t>DepartureYearLY.ConfirmedBookingItalyExcludingFO</t>
  </si>
  <si>
    <t>DepartureYearLY.ConfirmedBookingCorsicaExcludingFO</t>
  </si>
  <si>
    <t>DepartureYearLY.ConfirmedBookingTurkeyExcludingFO</t>
  </si>
  <si>
    <t>DepartureYearLY.ConfirmedBookingFranceExcludingAquitaineExcludingFO</t>
  </si>
  <si>
    <t>DepartureYearLY.ConfirmedBookingFranceExcludingFO</t>
  </si>
  <si>
    <t>DepartureYearLY.ConfirmedBookingMayDepartureExcludingFO</t>
  </si>
  <si>
    <t>DepartureYearLY.ConfirmedBookingJuneDepartureExcludingFO</t>
  </si>
  <si>
    <t>DepartureYearLY.ConfirmedBookingJulyDepartureExcludingFO</t>
  </si>
  <si>
    <t>DepartureYearLY.ConfirmedBookingAugustDepartureExcludingFO</t>
  </si>
  <si>
    <t>DepartureYearLY.ConfirmedBookingSeptemberDepartureExcludingFO</t>
  </si>
  <si>
    <t>DepartureYearLY.ConfirmedBookingOctoberDepartureExcludingFO</t>
  </si>
  <si>
    <t>DepartureYearLY.ConfirmedRevenuePastClientExcludingFO</t>
  </si>
  <si>
    <t>DepartureYearLY.ConfirmedRevenueNewClientExcludingFO</t>
  </si>
  <si>
    <t>DepartureYearLY.ConfirmedRevenueUKAgent</t>
  </si>
  <si>
    <t>DepartureYearLY.ConfirmedRevenueOverseasAgent</t>
  </si>
  <si>
    <t>DepartureYearLY.ConfirmedRevenuePreschoolSegmentExcludingFO</t>
  </si>
  <si>
    <t>DepartureYearLY.ConfirmedRevenueYoungFamilySegmentExcludingFO</t>
  </si>
  <si>
    <t>DepartureYearLY.ConfirmedRevenueOlderFamilySegmentExcludingFO</t>
  </si>
  <si>
    <t>DepartureYearLY.ConfirmedRevenueYoungCoupleSegmentExcludingFO</t>
  </si>
  <si>
    <t>DepartureYearLY.ConfirmedRevenueOlderCoupleSegmentExcludingFO</t>
  </si>
  <si>
    <t>DepartureYearLY.ConfirmedRevenueAdultGroupSegmentExcludingFO</t>
  </si>
  <si>
    <t>DepartureYearLY.ConfirmedRevenueOtherSegmentExcludingFO</t>
  </si>
  <si>
    <t>DepartureYearLY.ConfirmedRevenueGreeceExcludingFO</t>
  </si>
  <si>
    <t>DepartureYearLY.ConfirmedRevenueMallorcaExcludingFO</t>
  </si>
  <si>
    <t>DepartureYearLY.ConfirmedRevenueItalyExcludingFO</t>
  </si>
  <si>
    <t>DepartureYearLY.ConfirmedRevenueCorsicaExcludingFO</t>
  </si>
  <si>
    <t>DepartureYearLY.ConfirmedRevenueTurkeyExcludingFO</t>
  </si>
  <si>
    <t>DepartureYearLY.ConfirmedRevenueFranceExcludingAquitaineExcludingFO</t>
  </si>
  <si>
    <t>DepartureYearLY.ConfirmedRevenueFranceExcludingFO</t>
  </si>
  <si>
    <t>DepartureYearLY.ConfirmedRevenueMayDepartureExcludingFO</t>
  </si>
  <si>
    <t>DepartureYearLY.ConfirmedRevenueJuneDepartureExcludingFO</t>
  </si>
  <si>
    <t>DepartureYearLY.ConfirmedRevenueJulyDepartureExcludingFO</t>
  </si>
  <si>
    <t>DepartureYearLY.ConfirmedRevenueAugustDepartureExcludingFO</t>
  </si>
  <si>
    <t>DepartureYearLY.ConfirmedRevenueSeptemberDepartureExcludingFO</t>
  </si>
  <si>
    <t>DepartureYearLY.ConfirmedRevenueOctoberDepartureExcludingFO</t>
  </si>
  <si>
    <t>DepartureYearLY.ConfirmedBookingTotalDepartureYear</t>
  </si>
  <si>
    <t>DepartureYearLY.ConfirmedRevenueTotalDepartureYear</t>
  </si>
  <si>
    <t>DepartureYearLY.QuotedBookingDepartureYear</t>
  </si>
  <si>
    <t>DepartureYearLY.OptionedBookingDepartureYear</t>
  </si>
  <si>
    <t>DepartureYearLY.EnquiryBookingSalesCentreDepartureYear</t>
  </si>
  <si>
    <t>DepartureYearLY.LiveOptionBookingDepartureYear</t>
  </si>
  <si>
    <t>DepartureYearLY.LiveOptionRevenueDepartureYear</t>
  </si>
  <si>
    <t>DepartureYearLY.ConfirmedPAXCountDepartureYear</t>
  </si>
  <si>
    <t>DepartureYearLY.ConfirmedCommittedFlightSeatsCountDepartureYear</t>
  </si>
  <si>
    <t>DepartureYearLY.ConfirmedAdHocFlightSeatsCountDepartureYear</t>
  </si>
  <si>
    <t>DepartureYearLY.ConfirmedBookingTotalExcludingFODepartureYear</t>
  </si>
  <si>
    <t>DepartureYearLY.ConfirmedRevenueTotalExcludingFODepartureYear</t>
  </si>
  <si>
    <t>DepartureYearLY.ConfirmedBookingSalesCentreExcludingFODepartureYear</t>
  </si>
  <si>
    <t>DepartureYearLY.ConfirmedBookingWebsiteExcludingFODepartureYear</t>
  </si>
  <si>
    <t>DepartureYearLY.ConfirmedRevenueSalesCentreExcludingFODepartureYear</t>
  </si>
  <si>
    <t>DepartureYearLY.ConfirmedRevenueWebsiteExcludingFODepartureYear</t>
  </si>
  <si>
    <t>DepartureYearLY.ConfirmedBookingPastClientExcludingFODepartureYear</t>
  </si>
  <si>
    <t>DepartureYearLY.ConfirmedBookingNewClientExcludingFODepartureYear</t>
  </si>
  <si>
    <t>DepartureYearLY.ConfirmedBookingUKAgentDepartureYear</t>
  </si>
  <si>
    <t>DepartureYearLY.ConfirmedBookingOverseasAgentDepartureYear</t>
  </si>
  <si>
    <t>DepartureYearLY.ConfirmedBookingPreschoolSegmentExcludingFODepartureYear</t>
  </si>
  <si>
    <t>DepartureYearLY.ConfirmedBookingYoungFamilySegmentExcludingFODepartureYear</t>
  </si>
  <si>
    <t>DepartureYearLY.ConfirmedBookingOlderFamilySegmentExcludingFODepartureYear</t>
  </si>
  <si>
    <t>DepartureYearLY.ConfirmedBookingYoungCoupleSegmentExcludingFODepartureYear</t>
  </si>
  <si>
    <t>DepartureYearLY.ConfirmedBookingOlderCoupleSegmentExcludingFODepartureYear</t>
  </si>
  <si>
    <t>DepartureYearLY.ConfirmedBookingAdultGroupSegmentExcludingFODepartureYear</t>
  </si>
  <si>
    <t>DepartureYearLY.ConfirmedBookingOtherSegmentExcludingFODepartureYear</t>
  </si>
  <si>
    <t>DepartureYearLY.ConfirmedBookingGreeceExcludingFODepartureYear</t>
  </si>
  <si>
    <t>DepartureYearLY.ConfirmedBookingMallorcaExcludingFODepartureYear</t>
  </si>
  <si>
    <t>DepartureYearLY.ConfirmedBookingItalyExcludingFODepartureYear</t>
  </si>
  <si>
    <t>DepartureYearLY.ConfirmedBookingCorsicaExcludingFODepartureYear</t>
  </si>
  <si>
    <t>DepartureYearLY.ConfirmedBookingTurkeyExcludingFODepartureYear</t>
  </si>
  <si>
    <t>DepartureYearLY.ConfirmedBookingFranceExcludingAquitaineExcludingFODepartureYear</t>
  </si>
  <si>
    <t>DepartureYearLY.ConfirmedBookingFranceExcludingFODepartureYear</t>
  </si>
  <si>
    <t>DepartureYearLY.ConfirmedBookingMayDepartureExcludingFODepartureYear</t>
  </si>
  <si>
    <t>DepartureYearLY.ConfirmedBookingJuneDepartureExcludingFODepartureYear</t>
  </si>
  <si>
    <t>DepartureYearLY.ConfirmedBookingJulyDepartureExcludingFODepartureYear</t>
  </si>
  <si>
    <t>DepartureYearLY.ConfirmedBookingAugustDepartureExcludingFODepartureYear</t>
  </si>
  <si>
    <t>DepartureYearLY.ConfirmedBookingSeptemberDepartureExcludingFODepartureYear</t>
  </si>
  <si>
    <t>DepartureYearLY.ConfirmedBookingOctoberDepartureExcludingFODepartureYear</t>
  </si>
  <si>
    <t>DepartureYearLY.ConfirmedRevenuePastClientExcludingFODepartureYear</t>
  </si>
  <si>
    <t>DepartureYearLY.ConfirmedRevenueNewClientExcludingFODepartureYear</t>
  </si>
  <si>
    <t>DepartureYearLY.ConfirmedRevenueUKAgentDepartureYear</t>
  </si>
  <si>
    <t>DepartureYearLY.ConfirmedRevenueOverseasAgentDepartureYear</t>
  </si>
  <si>
    <t>DepartureYearLY.ConfirmedRevenuePreschoolSegmentExcludingFODepartureYear</t>
  </si>
  <si>
    <t>DepartureYearLY.ConfirmedRevenueYoungFamilySegmentExcludingFODepartureYear</t>
  </si>
  <si>
    <t>DepartureYearLY.ConfirmedRevenueOlderFamilySegmentExcludingFODepartureYear</t>
  </si>
  <si>
    <t>DepartureYearLY.ConfirmedRevenueYoungCoupleSegmentExcludingFODepartureYear</t>
  </si>
  <si>
    <t>DepartureYearLY.ConfirmedRevenueOlderCoupleSegmentExcludingFODepartureYear</t>
  </si>
  <si>
    <t>DepartureYearLY.ConfirmedRevenueAdultGroupSegmentExcludingFODepartureYear</t>
  </si>
  <si>
    <t>DepartureYearLY.ConfirmedRevenueOtherSegmentExcludingFODepartureYear</t>
  </si>
  <si>
    <t>DepartureYearLY.ConfirmedRevenueGreeceExcludingFODepartureYear</t>
  </si>
  <si>
    <t>DepartureYearLY.ConfirmedRevenueMallorcaExcludingFODepartureYear</t>
  </si>
  <si>
    <t>DepartureYearLY.ConfirmedRevenueItalyExcludingFODepartureYear</t>
  </si>
  <si>
    <t>DepartureYearLY.ConfirmedRevenueCorsicaExcludingFODepartureYear</t>
  </si>
  <si>
    <t>DepartureYearLY.ConfirmedRevenueTurkeyExcludingFODepartureYear</t>
  </si>
  <si>
    <t>DepartureYearLY.ConfirmedRevenueFranceExcludingAquitaineExcludingFODepartureYear</t>
  </si>
  <si>
    <t>DepartureYearLY.ConfirmedRevenueFranceExcludingFODepartureYear</t>
  </si>
  <si>
    <t>DepartureYearLY.ConfirmedRevenueMayDepartureExcludingFODepartureYear</t>
  </si>
  <si>
    <t>DepartureYearLY.ConfirmedRevenueJuneDepartureExcludingFODepartureYear</t>
  </si>
  <si>
    <t>DepartureYearLY.ConfirmedRevenueJulyDepartureExcludingFODepartureYear</t>
  </si>
  <si>
    <t>DepartureYearLY.ConfirmedRevenueAugustDepartureExcludingFODepartureYear</t>
  </si>
  <si>
    <t>DepartureYearLY.ConfirmedRevenueSeptemberDepartureExcludingFODepartureYear</t>
  </si>
  <si>
    <t>DepartureYearLY.ConfirmedRevenueOctoberDepartureExcludingFODepartureYear</t>
  </si>
  <si>
    <t>ConfirmedTW.ConfirmedBookingTotal</t>
  </si>
  <si>
    <t>ConfirmedTW.ConfirmedRevenueTotal</t>
  </si>
  <si>
    <t>ConfirmedTW.ConfirmedPAXCount</t>
  </si>
  <si>
    <t>ConfirmedTW.ConfirmedCommittedFlightSeatsCount</t>
  </si>
  <si>
    <t>ConfirmedTW.ConfirmedAdHocFlightSeatsCount</t>
  </si>
  <si>
    <t>ConfirmedTW.ConfirmedBookingTotalExcludingFO</t>
  </si>
  <si>
    <t>ConfirmedTW.ConfirmedRevenueTotalExcludingFO</t>
  </si>
  <si>
    <t>ConfirmedTW.ConfirmedBookingSalesCentreExcludingFO</t>
  </si>
  <si>
    <t>ConfirmedTW.ConfirmedBookingWebsiteExcludingFO</t>
  </si>
  <si>
    <t>ConfirmedTW.ConfirmedRevenueSalesCentreExcludingFO</t>
  </si>
  <si>
    <t>ConfirmedTW.ConfirmedRevenueWebsiteExcludingFO</t>
  </si>
  <si>
    <t>ConfirmedTW.ConfirmedBookingPastClientExcludingFO</t>
  </si>
  <si>
    <t>ConfirmedTW.ConfirmedBookingNewClientExcludingFO</t>
  </si>
  <si>
    <t>ConfirmedTW.ConfirmedBookingUKAgent</t>
  </si>
  <si>
    <t>ConfirmedTW.ConfirmedBookingOverseasAgent</t>
  </si>
  <si>
    <t>ConfirmedTW.ConfirmedBookingPreschoolSegmentExcludingFO</t>
  </si>
  <si>
    <t>ConfirmedTW.ConfirmedBookingYoungFamilySegmentExcludingFO</t>
  </si>
  <si>
    <t>ConfirmedTW.ConfirmedBookingOlderFamilySegmentExcludingFO</t>
  </si>
  <si>
    <t>ConfirmedTW.ConfirmedBookingYoungCoupleSegmentExcludingFO</t>
  </si>
  <si>
    <t>ConfirmedTW.ConfirmedBookingOlderCoupleSegmentExcludingFO</t>
  </si>
  <si>
    <t>ConfirmedTW.ConfirmedBookingAdultGroupSegmentExcludingFO</t>
  </si>
  <si>
    <t>ConfirmedTW.ConfirmedBookingOtherSegmentExcludingFO</t>
  </si>
  <si>
    <t>ConfirmedTW.ConfirmedBookingGreeceExcludingFO</t>
  </si>
  <si>
    <t>ConfirmedTW.ConfirmedBookingMallorcaExcludingFO</t>
  </si>
  <si>
    <t>ConfirmedTW.ConfirmedBookingItalyExcludingFO</t>
  </si>
  <si>
    <t>ConfirmedTW.ConfirmedBookingCorsicaExcludingFO</t>
  </si>
  <si>
    <t>ConfirmedTW.ConfirmedBookingTurkeyExcludingFO</t>
  </si>
  <si>
    <t>ConfirmedTW.ConfirmedBookingFranceExcludingAquitaineExcludingFO</t>
  </si>
  <si>
    <t>ConfirmedTW.ConfirmedBookingFranceExcludingFO</t>
  </si>
  <si>
    <t>ConfirmedTW.ConfirmedBookingMayDepartureExcludingFO</t>
  </si>
  <si>
    <t>ConfirmedTW.ConfirmedBookingJuneDepartureExcludingFO</t>
  </si>
  <si>
    <t>ConfirmedTW.ConfirmedBookingJulyDepartureExcludingFO</t>
  </si>
  <si>
    <t>ConfirmedTW.ConfirmedBookingAugustDepartureExcludingFO</t>
  </si>
  <si>
    <t>ConfirmedTW.ConfirmedBookingSeptemberDepartureExcludingFO</t>
  </si>
  <si>
    <t>ConfirmedTW.ConfirmedBookingOctoberDepartureExcludingFO</t>
  </si>
  <si>
    <t>ConfirmedTW.ConfirmedRevenuePastClientExcludingFO</t>
  </si>
  <si>
    <t>ConfirmedTW.ConfirmedRevenueNewClientExcludingFO</t>
  </si>
  <si>
    <t>ConfirmedTW.ConfirmedRevenueUKAgent</t>
  </si>
  <si>
    <t>ConfirmedTW.ConfirmedRevenueOverseasAgent</t>
  </si>
  <si>
    <t>ConfirmedTW.ConfirmedRevenuePreschoolSegmentExcludingFO</t>
  </si>
  <si>
    <t>ConfirmedTW.ConfirmedRevenueYoungFamilySegmentExcludingFO</t>
  </si>
  <si>
    <t>ConfirmedTW.ConfirmedRevenueOlderFamilySegmentExcludingFO</t>
  </si>
  <si>
    <t>ConfirmedTW.ConfirmedRevenueYoungCoupleSegmentExcludingFO</t>
  </si>
  <si>
    <t>ConfirmedTW.ConfirmedRevenueOlderCoupleSegmentExcludingFO</t>
  </si>
  <si>
    <t>ConfirmedTW.ConfirmedRevenueAdultGroupSegmentExcludingFO</t>
  </si>
  <si>
    <t>ConfirmedTW.ConfirmedRevenueOtherSegmentExcludingFO</t>
  </si>
  <si>
    <t>ConfirmedTW.ConfirmedRevenueGreeceExcludingFO</t>
  </si>
  <si>
    <t>ConfirmedTW.ConfirmedRevenueMallorcaExcludingFO</t>
  </si>
  <si>
    <t>ConfirmedTW.ConfirmedRevenueItalyExcludingFO</t>
  </si>
  <si>
    <t>ConfirmedTW.ConfirmedRevenueCorsicaExcludingFO</t>
  </si>
  <si>
    <t>ConfirmedTW.ConfirmedRevenueTurkeyExcludingFO</t>
  </si>
  <si>
    <t>ConfirmedTW.ConfirmedRevenueFranceExcludingAquitaineExcludingFO</t>
  </si>
  <si>
    <t>ConfirmedTW.ConfirmedRevenueFranceExcludingFO</t>
  </si>
  <si>
    <t>ConfirmedTW.ConfirmedRevenueMayDepartureExcludingFO</t>
  </si>
  <si>
    <t>ConfirmedTW.ConfirmedRevenueJuneDepartureExcludingFO</t>
  </si>
  <si>
    <t>ConfirmedTW.ConfirmedRevenueJulyDepartureExcludingFO</t>
  </si>
  <si>
    <t>ConfirmedTW.ConfirmedRevenueAugustDepartureExcludingFO</t>
  </si>
  <si>
    <t>ConfirmedTW.ConfirmedRevenueSeptemberDepartureExcludingFO</t>
  </si>
  <si>
    <t>ConfirmedTW.ConfirmedRevenueOctoberDepartureExcludingFO</t>
  </si>
  <si>
    <t>ConfirmedTW.ConfirmedBookingTotalDepartureYear</t>
  </si>
  <si>
    <t>ConfirmedTW.ConfirmedRevenueTotalDepartureYear</t>
  </si>
  <si>
    <t>ConfirmedTW.ConfirmedPAXCountDepartureYear</t>
  </si>
  <si>
    <t>ConfirmedTW.ConfirmedCommittedFlightSeatsCountDepartureYear</t>
  </si>
  <si>
    <t>ConfirmedTW.ConfirmedAdHocFlightSeatsCountDepartureYear</t>
  </si>
  <si>
    <t>ConfirmedTW.ConfirmedBookingTotalExcludingFODepartureYear</t>
  </si>
  <si>
    <t>ConfirmedTW.ConfirmedRevenueTotalExcludingFODepartureYear</t>
  </si>
  <si>
    <t>ConfirmedTW.ConfirmedBookingSalesCentreExcludingFODepartureYear</t>
  </si>
  <si>
    <t>ConfirmedTW.ConfirmedBookingWebsiteExcludingFODepartureYear</t>
  </si>
  <si>
    <t>ConfirmedTW.ConfirmedRevenueSalesCentreExcludingFODepartureYear</t>
  </si>
  <si>
    <t>ConfirmedTW.ConfirmedRevenueWebsiteExcludingFODepartureYear</t>
  </si>
  <si>
    <t>ConfirmedTW.ConfirmedBookingPastClientExcludingFODepartureYear</t>
  </si>
  <si>
    <t>ConfirmedTW.ConfirmedBookingNewClientExcludingFODepartureYear</t>
  </si>
  <si>
    <t>ConfirmedTW.ConfirmedBookingUKAgentDepartureYear</t>
  </si>
  <si>
    <t>ConfirmedTW.ConfirmedBookingOverseasAgentDepartureYear</t>
  </si>
  <si>
    <t>ConfirmedTW.ConfirmedBookingPreschoolSegmentExcludingFODepartureYear</t>
  </si>
  <si>
    <t>ConfirmedTW.ConfirmedBookingYoungFamilySegmentExcludingFODepartureYear</t>
  </si>
  <si>
    <t>ConfirmedTW.ConfirmedBookingOlderFamilySegmentExcludingFODepartureYear</t>
  </si>
  <si>
    <t>ConfirmedTW.ConfirmedBookingYoungCoupleSegmentExcludingFODepartureYear</t>
  </si>
  <si>
    <t>ConfirmedTW.ConfirmedBookingOlderCoupleSegmentExcludingFODepartureYear</t>
  </si>
  <si>
    <t>ConfirmedTW.ConfirmedBookingAdultGroupSegmentExcludingFODepartureYear</t>
  </si>
  <si>
    <t>ConfirmedTW.ConfirmedBookingOtherSegmentExcludingFODepartureYear</t>
  </si>
  <si>
    <t>ConfirmedTW.ConfirmedBookingGreeceExcludingFODepartureYear</t>
  </si>
  <si>
    <t>ConfirmedTW.ConfirmedBookingMallorcaExcludingFODepartureYear</t>
  </si>
  <si>
    <t>ConfirmedTW.ConfirmedBookingItalyExcludingFODepartureYear</t>
  </si>
  <si>
    <t>ConfirmedTW.ConfirmedBookingCorsicaExcludingFODepartureYear</t>
  </si>
  <si>
    <t>ConfirmedTW.ConfirmedBookingTurkeyExcludingFODepartureYear</t>
  </si>
  <si>
    <t>ConfirmedTW.ConfirmedBookingFranceExcludingAquitaineExcludingFODepartureYear</t>
  </si>
  <si>
    <t>ConfirmedTW.ConfirmedBookingFranceExcludingFODepartureYear</t>
  </si>
  <si>
    <t>ConfirmedTW.ConfirmedBookingMayDepartureExcludingFODepartureYear</t>
  </si>
  <si>
    <t>ConfirmedTW.ConfirmedBookingJuneDepartureExcludingFODepartureYear</t>
  </si>
  <si>
    <t>ConfirmedTW.ConfirmedBookingJulyDepartureExcludingFODepartureYear</t>
  </si>
  <si>
    <t>ConfirmedTW.ConfirmedBookingAugustDepartureExcludingFODepartureYear</t>
  </si>
  <si>
    <t>ConfirmedTW.ConfirmedBookingSeptemberDepartureExcludingFODepartureYear</t>
  </si>
  <si>
    <t>ConfirmedTW.ConfirmedBookingOctoberDepartureExcludingFODepartureYear</t>
  </si>
  <si>
    <t>ConfirmedTW.ConfirmedRevenuePastClientExcludingFODepartureYear</t>
  </si>
  <si>
    <t>ConfirmedTW.ConfirmedRevenueNewClientExcludingFODepartureYear</t>
  </si>
  <si>
    <t>ConfirmedTW.ConfirmedRevenueUKAgentDepartureYear</t>
  </si>
  <si>
    <t>ConfirmedTW.ConfirmedRevenueOverseasAgentDepartureYear</t>
  </si>
  <si>
    <t>ConfirmedTW.ConfirmedRevenuePreschoolSegmentExcludingFODepartureYear</t>
  </si>
  <si>
    <t>ConfirmedTW.ConfirmedRevenueYoungFamilySegmentExcludingFODepartureYear</t>
  </si>
  <si>
    <t>ConfirmedTW.ConfirmedRevenueOlderFamilySegmentExcludingFODepartureYear</t>
  </si>
  <si>
    <t>ConfirmedTW.ConfirmedRevenueYoungCoupleSegmentExcludingFODepartureYear</t>
  </si>
  <si>
    <t>ConfirmedTW.ConfirmedRevenueOlderCoupleSegmentExcludingFODepartureYear</t>
  </si>
  <si>
    <t>ConfirmedTW.ConfirmedRevenueAdultGroupSegmentExcludingFODepartureYear</t>
  </si>
  <si>
    <t>ConfirmedTW.ConfirmedRevenueOtherSegmentExcludingFODepartureYear</t>
  </si>
  <si>
    <t>ConfirmedTW.ConfirmedRevenueGreeceExcludingFODepartureYear</t>
  </si>
  <si>
    <t>ConfirmedTW.ConfirmedRevenueMallorcaExcludingFODepartureYear</t>
  </si>
  <si>
    <t>ConfirmedTW.ConfirmedRevenueItalyExcludingFODepartureYear</t>
  </si>
  <si>
    <t>ConfirmedTW.ConfirmedRevenueCorsicaExcludingFODepartureYear</t>
  </si>
  <si>
    <t>ConfirmedTW.ConfirmedRevenueTurkeyExcludingFODepartureYear</t>
  </si>
  <si>
    <t>ConfirmedTW.ConfirmedRevenueFranceExcludingAquitaineExcludingFODepartureYear</t>
  </si>
  <si>
    <t>ConfirmedTW.ConfirmedRevenueFranceExcludingFODepartureYear</t>
  </si>
  <si>
    <t>ConfirmedTW.ConfirmedRevenueMayDepartureExcludingFODepartureYear</t>
  </si>
  <si>
    <t>ConfirmedTW.ConfirmedRevenueJuneDepartureExcludingFODepartureYear</t>
  </si>
  <si>
    <t>ConfirmedTW.ConfirmedRevenueJulyDepartureExcludingFODepartureYear</t>
  </si>
  <si>
    <t>ConfirmedTW.ConfirmedRevenueAugustDepartureExcludingFODepartureYear</t>
  </si>
  <si>
    <t>ConfirmedTW.ConfirmedRevenueSeptemberDepartureExcludingFODepartureYear</t>
  </si>
  <si>
    <t>ConfirmedTW.ConfirmedRevenueOctoberDepartureExcludingFODepartureYear</t>
  </si>
  <si>
    <t>ConfirmedLW.ConfirmedBookingTotal</t>
  </si>
  <si>
    <t>ConfirmedLW.ConfirmedRevenueTotal</t>
  </si>
  <si>
    <t>ConfirmedLW.ConfirmedPAXCount</t>
  </si>
  <si>
    <t>ConfirmedLW.ConfirmedCommittedFlightSeatsCount</t>
  </si>
  <si>
    <t>ConfirmedLW.ConfirmedAdHocFlightSeatsCount</t>
  </si>
  <si>
    <t>ConfirmedLW.ConfirmedBookingTotalExcludingFO</t>
  </si>
  <si>
    <t>ConfirmedLW.ConfirmedRevenueTotalExcludingFO</t>
  </si>
  <si>
    <t>ConfirmedLW.ConfirmedBookingSalesCentreExcludingFO</t>
  </si>
  <si>
    <t>ConfirmedLW.ConfirmedBookingWebsiteExcludingFO</t>
  </si>
  <si>
    <t>ConfirmedLW.ConfirmedRevenueSalesCentreExcludingFO</t>
  </si>
  <si>
    <t>ConfirmedLW.ConfirmedRevenueWebsiteExcludingFO</t>
  </si>
  <si>
    <t>ConfirmedLW.ConfirmedBookingPastClientExcludingFO</t>
  </si>
  <si>
    <t>ConfirmedLW.ConfirmedBookingNewClientExcludingFO</t>
  </si>
  <si>
    <t>ConfirmedLW.ConfirmedBookingUKAgent</t>
  </si>
  <si>
    <t>ConfirmedLW.ConfirmedBookingOverseasAgent</t>
  </si>
  <si>
    <t>ConfirmedLW.ConfirmedBookingPreschoolSegmentExcludingFO</t>
  </si>
  <si>
    <t>ConfirmedLW.ConfirmedBookingYoungFamilySegmentExcludingFO</t>
  </si>
  <si>
    <t>ConfirmedLW.ConfirmedBookingOlderFamilySegmentExcludingFO</t>
  </si>
  <si>
    <t>ConfirmedLW.ConfirmedBookingYoungCoupleSegmentExcludingFO</t>
  </si>
  <si>
    <t>ConfirmedLW.ConfirmedBookingOlderCoupleSegmentExcludingFO</t>
  </si>
  <si>
    <t>ConfirmedLW.ConfirmedBookingAdultGroupSegmentExcludingFO</t>
  </si>
  <si>
    <t>ConfirmedLW.ConfirmedBookingOtherSegmentExcludingFO</t>
  </si>
  <si>
    <t>ConfirmedLW.ConfirmedBookingGreeceExcludingFO</t>
  </si>
  <si>
    <t>ConfirmedLW.ConfirmedBookingMallorcaExcludingFO</t>
  </si>
  <si>
    <t>ConfirmedLW.ConfirmedBookingItalyExcludingFO</t>
  </si>
  <si>
    <t>ConfirmedLW.ConfirmedBookingCorsicaExcludingFO</t>
  </si>
  <si>
    <t>ConfirmedLW.ConfirmedBookingTurkeyExcludingFO</t>
  </si>
  <si>
    <t>ConfirmedLW.ConfirmedBookingFranceExcludingAquitaineExcludingFO</t>
  </si>
  <si>
    <t>ConfirmedLW.ConfirmedBookingFranceExcludingFO</t>
  </si>
  <si>
    <t>ConfirmedLW.ConfirmedBookingMayDepartureExcludingFO</t>
  </si>
  <si>
    <t>ConfirmedLW.ConfirmedBookingJuneDepartureExcludingFO</t>
  </si>
  <si>
    <t>ConfirmedLW.ConfirmedBookingJulyDepartureExcludingFO</t>
  </si>
  <si>
    <t>ConfirmedLW.ConfirmedBookingAugustDepartureExcludingFO</t>
  </si>
  <si>
    <t>ConfirmedLW.ConfirmedBookingSeptemberDepartureExcludingFO</t>
  </si>
  <si>
    <t>ConfirmedLW.ConfirmedBookingOctoberDepartureExcludingFO</t>
  </si>
  <si>
    <t>ConfirmedLW.ConfirmedRevenuePastClientExcludingFO</t>
  </si>
  <si>
    <t>ConfirmedLW.ConfirmedRevenueNewClientExcludingFO</t>
  </si>
  <si>
    <t>ConfirmedLW.ConfirmedRevenueUKAgent</t>
  </si>
  <si>
    <t>ConfirmedLW.ConfirmedRevenueOverseasAgent</t>
  </si>
  <si>
    <t>ConfirmedLW.ConfirmedRevenuePreschoolSegmentExcludingFO</t>
  </si>
  <si>
    <t>ConfirmedLW.ConfirmedRevenueYoungFamilySegmentExcludingFO</t>
  </si>
  <si>
    <t>ConfirmedLW.ConfirmedRevenueOlderFamilySegmentExcludingFO</t>
  </si>
  <si>
    <t>ConfirmedLW.ConfirmedRevenueYoungCoupleSegmentExcludingFO</t>
  </si>
  <si>
    <t>ConfirmedLW.ConfirmedRevenueOlderCoupleSegmentExcludingFO</t>
  </si>
  <si>
    <t>ConfirmedLW.ConfirmedRevenueAdultGroupSegmentExcludingFO</t>
  </si>
  <si>
    <t>ConfirmedLW.ConfirmedRevenueOtherSegmentExcludingFO</t>
  </si>
  <si>
    <t>ConfirmedLW.ConfirmedRevenueGreeceExcludingFO</t>
  </si>
  <si>
    <t>ConfirmedLW.ConfirmedRevenueMallorcaExcludingFO</t>
  </si>
  <si>
    <t>ConfirmedLW.ConfirmedRevenueItalyExcludingFO</t>
  </si>
  <si>
    <t>ConfirmedLW.ConfirmedRevenueCorsicaExcludingFO</t>
  </si>
  <si>
    <t>ConfirmedLW.ConfirmedRevenueTurkeyExcludingFO</t>
  </si>
  <si>
    <t>ConfirmedLW.ConfirmedRevenueFranceExcludingAquitaineExcludingFO</t>
  </si>
  <si>
    <t>ConfirmedLW.ConfirmedRevenueFranceExcludingFO</t>
  </si>
  <si>
    <t>ConfirmedLW.ConfirmedRevenueMayDepartureExcludingFO</t>
  </si>
  <si>
    <t>ConfirmedLW.ConfirmedRevenueJuneDepartureExcludingFO</t>
  </si>
  <si>
    <t>ConfirmedLW.ConfirmedRevenueJulyDepartureExcludingFO</t>
  </si>
  <si>
    <t>ConfirmedLW.ConfirmedRevenueAugustDepartureExcludingFO</t>
  </si>
  <si>
    <t>ConfirmedLW.ConfirmedRevenueSeptemberDepartureExcludingFO</t>
  </si>
  <si>
    <t>ConfirmedLW.ConfirmedRevenueOctoberDepartureExcludingFO</t>
  </si>
  <si>
    <t>ConfirmedLW.ConfirmedBookingTotalDepartureYear</t>
  </si>
  <si>
    <t>ConfirmedLW.ConfirmedRevenueTotalDepartureYear</t>
  </si>
  <si>
    <t>ConfirmedLW.ConfirmedPAXCountDepartureYear</t>
  </si>
  <si>
    <t>ConfirmedLW.ConfirmedCommittedFlightSeatsCountDepartureYear</t>
  </si>
  <si>
    <t>ConfirmedLW.ConfirmedAdHocFlightSeatsCountDepartureYear</t>
  </si>
  <si>
    <t>ConfirmedLW.ConfirmedBookingTotalExcludingFODepartureYear</t>
  </si>
  <si>
    <t>ConfirmedLW.ConfirmedRevenueTotalExcludingFODepartureYear</t>
  </si>
  <si>
    <t>ConfirmedLW.ConfirmedBookingSalesCentreExcludingFODepartureYear</t>
  </si>
  <si>
    <t>ConfirmedLW.ConfirmedBookingWebsiteExcludingFODepartureYear</t>
  </si>
  <si>
    <t>ConfirmedLW.ConfirmedRevenueSalesCentreExcludingFODepartureYear</t>
  </si>
  <si>
    <t>ConfirmedLW.ConfirmedRevenueWebsiteExcludingFODepartureYear</t>
  </si>
  <si>
    <t>ConfirmedLW.ConfirmedBookingPastClientExcludingFODepartureYear</t>
  </si>
  <si>
    <t>ConfirmedLW.ConfirmedBookingNewClientExcludingFODepartureYear</t>
  </si>
  <si>
    <t>ConfirmedLW.ConfirmedBookingUKAgentDepartureYear</t>
  </si>
  <si>
    <t>ConfirmedLW.ConfirmedBookingOverseasAgentDepartureYear</t>
  </si>
  <si>
    <t>ConfirmedLW.ConfirmedBookingPreschoolSegmentExcludingFODepartureYear</t>
  </si>
  <si>
    <t>ConfirmedLW.ConfirmedBookingYoungFamilySegmentExcludingFODepartureYear</t>
  </si>
  <si>
    <t>ConfirmedLW.ConfirmedBookingOlderFamilySegmentExcludingFODepartureYear</t>
  </si>
  <si>
    <t>ConfirmedLW.ConfirmedBookingYoungCoupleSegmentExcludingFODepartureYear</t>
  </si>
  <si>
    <t>ConfirmedLW.ConfirmedBookingOlderCoupleSegmentExcludingFODepartureYear</t>
  </si>
  <si>
    <t>ConfirmedLW.ConfirmedBookingAdultGroupSegmentExcludingFODepartureYear</t>
  </si>
  <si>
    <t>ConfirmedLW.ConfirmedBookingOtherSegmentExcludingFODepartureYear</t>
  </si>
  <si>
    <t>ConfirmedLW.ConfirmedBookingGreeceExcludingFODepartureYear</t>
  </si>
  <si>
    <t>ConfirmedLW.ConfirmedBookingMallorcaExcludingFODepartureYear</t>
  </si>
  <si>
    <t>ConfirmedLW.ConfirmedBookingItalyExcludingFODepartureYear</t>
  </si>
  <si>
    <t>ConfirmedLW.ConfirmedBookingCorsicaExcludingFODepartureYear</t>
  </si>
  <si>
    <t>ConfirmedLW.ConfirmedBookingTurkeyExcludingFODepartureYear</t>
  </si>
  <si>
    <t>ConfirmedLW.ConfirmedBookingFranceExcludingAquitaineExcludingFODepartureYear</t>
  </si>
  <si>
    <t>ConfirmedLW.ConfirmedBookingFranceExcludingFODepartureYear</t>
  </si>
  <si>
    <t>ConfirmedLW.ConfirmedBookingMayDepartureExcludingFODepartureYear</t>
  </si>
  <si>
    <t>ConfirmedLW.ConfirmedBookingJuneDepartureExcludingFODepartureYear</t>
  </si>
  <si>
    <t>ConfirmedLW.ConfirmedBookingJulyDepartureExcludingFODepartureYear</t>
  </si>
  <si>
    <t>ConfirmedLW.ConfirmedBookingAugustDepartureExcludingFODepartureYear</t>
  </si>
  <si>
    <t>ConfirmedLW.ConfirmedBookingSeptemberDepartureExcludingFODepartureYear</t>
  </si>
  <si>
    <t>ConfirmedLW.ConfirmedBookingOctoberDepartureExcludingFODepartureYear</t>
  </si>
  <si>
    <t>ConfirmedLW.ConfirmedRevenuePastClientExcludingFODepartureYear</t>
  </si>
  <si>
    <t>ConfirmedLW.ConfirmedRevenueNewClientExcludingFODepartureYear</t>
  </si>
  <si>
    <t>ConfirmedLW.ConfirmedRevenueUKAgentDepartureYear</t>
  </si>
  <si>
    <t>ConfirmedLW.ConfirmedRevenueOverseasAgentDepartureYear</t>
  </si>
  <si>
    <t>ConfirmedLW.ConfirmedRevenuePreschoolSegmentExcludingFODepartureYear</t>
  </si>
  <si>
    <t>ConfirmedLW.ConfirmedRevenueYoungFamilySegmentExcludingFODepartureYear</t>
  </si>
  <si>
    <t>ConfirmedLW.ConfirmedRevenueOlderFamilySegmentExcludingFODepartureYear</t>
  </si>
  <si>
    <t>ConfirmedLW.ConfirmedRevenueYoungCoupleSegmentExcludingFODepartureYear</t>
  </si>
  <si>
    <t>ConfirmedLW.ConfirmedRevenueOlderCoupleSegmentExcludingFODepartureYear</t>
  </si>
  <si>
    <t>ConfirmedLW.ConfirmedRevenueAdultGroupSegmentExcludingFODepartureYear</t>
  </si>
  <si>
    <t>ConfirmedLW.ConfirmedRevenueOtherSegmentExcludingFODepartureYear</t>
  </si>
  <si>
    <t>ConfirmedLW.ConfirmedRevenueGreeceExcludingFODepartureYear</t>
  </si>
  <si>
    <t>ConfirmedLW.ConfirmedRevenueMallorcaExcludingFODepartureYear</t>
  </si>
  <si>
    <t>ConfirmedLW.ConfirmedRevenueItalyExcludingFODepartureYear</t>
  </si>
  <si>
    <t>ConfirmedLW.ConfirmedRevenueCorsicaExcludingFODepartureYear</t>
  </si>
  <si>
    <t>ConfirmedLW.ConfirmedRevenueTurkeyExcludingFODepartureYear</t>
  </si>
  <si>
    <t>ConfirmedLW.ConfirmedRevenueFranceExcludingAquitaineExcludingFODepartureYear</t>
  </si>
  <si>
    <t>ConfirmedLW.ConfirmedRevenueFranceExcludingFODepartureYear</t>
  </si>
  <si>
    <t>ConfirmedLW.ConfirmedRevenueMayDepartureExcludingFODepartureYear</t>
  </si>
  <si>
    <t>ConfirmedLW.ConfirmedRevenueJuneDepartureExcludingFODepartureYear</t>
  </si>
  <si>
    <t>ConfirmedLW.ConfirmedRevenueJulyDepartureExcludingFODepartureYear</t>
  </si>
  <si>
    <t>ConfirmedLW.ConfirmedRevenueAugustDepartureExcludingFODepartureYear</t>
  </si>
  <si>
    <t>ConfirmedLW.ConfirmedRevenueSeptemberDepartureExcludingFODepartureYear</t>
  </si>
  <si>
    <t>ConfirmedLW.ConfirmedRevenueOctoberDepartureExcludingFODepartureYear</t>
  </si>
  <si>
    <t>ConfirmedTWLY.ConfirmedBookingTotal</t>
  </si>
  <si>
    <t>ConfirmedTWLY.ConfirmedRevenueTotal</t>
  </si>
  <si>
    <t>ConfirmedTWLY.ConfirmedPAXCount</t>
  </si>
  <si>
    <t>ConfirmedTWLY.ConfirmedCommittedFlightSeatsCount</t>
  </si>
  <si>
    <t>ConfirmedTWLY.ConfirmedAdHocFlightSeatsCount</t>
  </si>
  <si>
    <t>ConfirmedTWLY.ConfirmedBookingTotalExcludingFO</t>
  </si>
  <si>
    <t>ConfirmedTWLY.ConfirmedRevenueTotalExcludingFO</t>
  </si>
  <si>
    <t>ConfirmedTWLY.ConfirmedBookingSalesCentreExcludingFO</t>
  </si>
  <si>
    <t>ConfirmedTWLY.ConfirmedBookingWebsiteExcludingFO</t>
  </si>
  <si>
    <t>ConfirmedTWLY.ConfirmedRevenueSalesCentreExcludingFO</t>
  </si>
  <si>
    <t>ConfirmedTWLY.ConfirmedRevenueWebsiteExcludingFO</t>
  </si>
  <si>
    <t>ConfirmedTWLY.ConfirmedBookingPastClientExcludingFO</t>
  </si>
  <si>
    <t>ConfirmedTWLY.ConfirmedBookingNewClientExcludingFO</t>
  </si>
  <si>
    <t>ConfirmedTWLY.ConfirmedBookingUKAgent</t>
  </si>
  <si>
    <t>ConfirmedTWLY.ConfirmedBookingOverseasAgent</t>
  </si>
  <si>
    <t>ConfirmedTWLY.ConfirmedBookingPreschoolSegmentExcludingFO</t>
  </si>
  <si>
    <t>ConfirmedTWLY.ConfirmedBookingYoungFamilySegmentExcludingFO</t>
  </si>
  <si>
    <t>ConfirmedTWLY.ConfirmedBookingOlderFamilySegmentExcludingFO</t>
  </si>
  <si>
    <t>ConfirmedTWLY.ConfirmedBookingYoungCoupleSegmentExcludingFO</t>
  </si>
  <si>
    <t>ConfirmedTWLY.ConfirmedBookingOlderCoupleSegmentExcludingFO</t>
  </si>
  <si>
    <t>ConfirmedTWLY.ConfirmedBookingAdultGroupSegmentExcludingFO</t>
  </si>
  <si>
    <t>ConfirmedTWLY.ConfirmedBookingOtherSegmentExcludingFO</t>
  </si>
  <si>
    <t>ConfirmedTWLY.ConfirmedBookingGreeceExcludingFO</t>
  </si>
  <si>
    <t>ConfirmedTWLY.ConfirmedBookingMallorcaExcludingFO</t>
  </si>
  <si>
    <t>ConfirmedTWLY.ConfirmedBookingItalyExcludingFO</t>
  </si>
  <si>
    <t>ConfirmedTWLY.ConfirmedBookingCorsicaExcludingFO</t>
  </si>
  <si>
    <t>ConfirmedTWLY.ConfirmedBookingTurkeyExcludingFO</t>
  </si>
  <si>
    <t>ConfirmedTWLY.ConfirmedBookingFranceExcludingAquitaineExcludingFO</t>
  </si>
  <si>
    <t>ConfirmedTWLY.ConfirmedBookingFranceExcludingFO</t>
  </si>
  <si>
    <t>ConfirmedTWLY.ConfirmedBookingMayDepartureExcludingFO</t>
  </si>
  <si>
    <t>ConfirmedTWLY.ConfirmedBookingJuneDepartureExcludingFO</t>
  </si>
  <si>
    <t>ConfirmedTWLY.ConfirmedBookingJulyDepartureExcludingFO</t>
  </si>
  <si>
    <t>ConfirmedTWLY.ConfirmedBookingAugustDepartureExcludingFO</t>
  </si>
  <si>
    <t>ConfirmedTWLY.ConfirmedBookingSeptemberDepartureExcludingFO</t>
  </si>
  <si>
    <t>ConfirmedTWLY.ConfirmedBookingOctoberDepartureExcludingFO</t>
  </si>
  <si>
    <t>ConfirmedTWLY.ConfirmedRevenuePastClientExcludingFO</t>
  </si>
  <si>
    <t>ConfirmedTWLY.ConfirmedRevenueNewClientExcludingFO</t>
  </si>
  <si>
    <t>ConfirmedTWLY.ConfirmedRevenueUKAgent</t>
  </si>
  <si>
    <t>ConfirmedTWLY.ConfirmedRevenueOverseasAgent</t>
  </si>
  <si>
    <t>ConfirmedTWLY.ConfirmedRevenuePreschoolSegmentExcludingFO</t>
  </si>
  <si>
    <t>ConfirmedTWLY.ConfirmedRevenueYoungFamilySegmentExcludingFO</t>
  </si>
  <si>
    <t>ConfirmedTWLY.ConfirmedRevenueOlderFamilySegmentExcludingFO</t>
  </si>
  <si>
    <t>ConfirmedTWLY.ConfirmedRevenueYoungCoupleSegmentExcludingFO</t>
  </si>
  <si>
    <t>ConfirmedTWLY.ConfirmedRevenueOlderCoupleSegmentExcludingFO</t>
  </si>
  <si>
    <t>ConfirmedTWLY.ConfirmedRevenueAdultGroupSegmentExcludingFO</t>
  </si>
  <si>
    <t>ConfirmedTWLY.ConfirmedRevenueOtherSegmentExcludingFO</t>
  </si>
  <si>
    <t>ConfirmedTWLY.ConfirmedRevenueGreeceExcludingFO</t>
  </si>
  <si>
    <t>ConfirmedTWLY.ConfirmedRevenueMallorcaExcludingFO</t>
  </si>
  <si>
    <t>ConfirmedTWLY.ConfirmedRevenueItalyExcludingFO</t>
  </si>
  <si>
    <t>ConfirmedTWLY.ConfirmedRevenueCorsicaExcludingFO</t>
  </si>
  <si>
    <t>ConfirmedTWLY.ConfirmedRevenueTurkeyExcludingFO</t>
  </si>
  <si>
    <t>ConfirmedTWLY.ConfirmedRevenueFranceExcludingAquitaineExcludingFO</t>
  </si>
  <si>
    <t>ConfirmedTWLY.ConfirmedRevenueFranceExcludingFO</t>
  </si>
  <si>
    <t>ConfirmedTWLY.ConfirmedRevenueMayDepartureExcludingFO</t>
  </si>
  <si>
    <t>ConfirmedTWLY.ConfirmedRevenueJuneDepartureExcludingFO</t>
  </si>
  <si>
    <t>ConfirmedTWLY.ConfirmedRevenueJulyDepartureExcludingFO</t>
  </si>
  <si>
    <t>ConfirmedTWLY.ConfirmedRevenueAugustDepartureExcludingFO</t>
  </si>
  <si>
    <t>ConfirmedTWLY.ConfirmedRevenueSeptemberDepartureExcludingFO</t>
  </si>
  <si>
    <t>ConfirmedTWLY.ConfirmedRevenueOctoberDepartureExcludingFO</t>
  </si>
  <si>
    <t>ConfirmedTWLY.ConfirmedBookingTotalDepartureYear</t>
  </si>
  <si>
    <t>ConfirmedTWLY.ConfirmedRevenueTotalDepartureYear</t>
  </si>
  <si>
    <t>ConfirmedTWLY.ConfirmedPAXCountDepartureYear</t>
  </si>
  <si>
    <t>ConfirmedTWLY.ConfirmedCommittedFlightSeatsCountDepartureYear</t>
  </si>
  <si>
    <t>ConfirmedTWLY.ConfirmedAdHocFlightSeatsCountDepartureYear</t>
  </si>
  <si>
    <t>ConfirmedTWLY.ConfirmedBookingTotalExcludingFODepartureYear</t>
  </si>
  <si>
    <t>ConfirmedTWLY.ConfirmedRevenueTotalExcludingFODepartureYear</t>
  </si>
  <si>
    <t>ConfirmedTWLY.ConfirmedBookingSalesCentreExcludingFODepartureYear</t>
  </si>
  <si>
    <t>ConfirmedTWLY.ConfirmedBookingWebsiteExcludingFODepartureYear</t>
  </si>
  <si>
    <t>ConfirmedTWLY.ConfirmedRevenueSalesCentreExcludingFODepartureYear</t>
  </si>
  <si>
    <t>ConfirmedTWLY.ConfirmedRevenueWebsiteExcludingFODepartureYear</t>
  </si>
  <si>
    <t>ConfirmedTWLY.ConfirmedBookingPastClientExcludingFODepartureYear</t>
  </si>
  <si>
    <t>ConfirmedTWLY.ConfirmedBookingNewClientExcludingFODepartureYear</t>
  </si>
  <si>
    <t>ConfirmedTWLY.ConfirmedBookingUKAgentDepartureYear</t>
  </si>
  <si>
    <t>ConfirmedTWLY.ConfirmedBookingOverseasAgentDepartureYear</t>
  </si>
  <si>
    <t>ConfirmedTWLY.ConfirmedBookingPreschoolSegmentExcludingFODepartureYear</t>
  </si>
  <si>
    <t>ConfirmedTWLY.ConfirmedBookingYoungFamilySegmentExcludingFODepartureYear</t>
  </si>
  <si>
    <t>ConfirmedTWLY.ConfirmedBookingOlderFamilySegmentExcludingFODepartureYear</t>
  </si>
  <si>
    <t>ConfirmedTWLY.ConfirmedBookingYoungCoupleSegmentExcludingFODepartureYear</t>
  </si>
  <si>
    <t>ConfirmedTWLY.ConfirmedBookingOlderCoupleSegmentExcludingFODepartureYear</t>
  </si>
  <si>
    <t>ConfirmedTWLY.ConfirmedBookingAdultGroupSegmentExcludingFODepartureYear</t>
  </si>
  <si>
    <t>ConfirmedTWLY.ConfirmedBookingOtherSegmentExcludingFODepartureYear</t>
  </si>
  <si>
    <t>ConfirmedTWLY.ConfirmedBookingGreeceExcludingFODepartureYear</t>
  </si>
  <si>
    <t>ConfirmedTWLY.ConfirmedBookingMallorcaExcludingFODepartureYear</t>
  </si>
  <si>
    <t>ConfirmedTWLY.ConfirmedBookingItalyExcludingFODepartureYear</t>
  </si>
  <si>
    <t>ConfirmedTWLY.ConfirmedBookingCorsicaExcludingFODepartureYear</t>
  </si>
  <si>
    <t>ConfirmedTWLY.ConfirmedBookingTurkeyExcludingFODepartureYear</t>
  </si>
  <si>
    <t>ConfirmedTWLY.ConfirmedBookingFranceExcludingAquitaineExcludingFODepartureYear</t>
  </si>
  <si>
    <t>ConfirmedTWLY.ConfirmedBookingFranceExcludingFODepartureYear</t>
  </si>
  <si>
    <t>ConfirmedTWLY.ConfirmedBookingMayDepartureExcludingFODepartureYear</t>
  </si>
  <si>
    <t>ConfirmedTWLY.ConfirmedBookingJuneDepartureExcludingFODepartureYear</t>
  </si>
  <si>
    <t>ConfirmedTWLY.ConfirmedBookingJulyDepartureExcludingFODepartureYear</t>
  </si>
  <si>
    <t>ConfirmedTWLY.ConfirmedBookingAugustDepartureExcludingFODepartureYear</t>
  </si>
  <si>
    <t>ConfirmedTWLY.ConfirmedBookingSeptemberDepartureExcludingFODepartureYear</t>
  </si>
  <si>
    <t>ConfirmedTWLY.ConfirmedBookingOctoberDepartureExcludingFODepartureYear</t>
  </si>
  <si>
    <t>ConfirmedTWLY.ConfirmedRevenuePastClientExcludingFODepartureYear</t>
  </si>
  <si>
    <t>ConfirmedTWLY.ConfirmedRevenueNewClientExcludingFODepartureYear</t>
  </si>
  <si>
    <t>ConfirmedTWLY.ConfirmedRevenueUKAgentDepartureYear</t>
  </si>
  <si>
    <t>ConfirmedTWLY.ConfirmedRevenueOverseasAgentDepartureYear</t>
  </si>
  <si>
    <t>ConfirmedTWLY.ConfirmedRevenuePreschoolSegmentExcludingFODepartureYear</t>
  </si>
  <si>
    <t>ConfirmedTWLY.ConfirmedRevenueYoungFamilySegmentExcludingFODepartureYear</t>
  </si>
  <si>
    <t>ConfirmedTWLY.ConfirmedRevenueOlderFamilySegmentExcludingFODepartureYear</t>
  </si>
  <si>
    <t>ConfirmedTWLY.ConfirmedRevenueYoungCoupleSegmentExcludingFODepartureYear</t>
  </si>
  <si>
    <t>ConfirmedTWLY.ConfirmedRevenueOlderCoupleSegmentExcludingFODepartureYear</t>
  </si>
  <si>
    <t>ConfirmedTWLY.ConfirmedRevenueAdultGroupSegmentExcludingFODepartureYear</t>
  </si>
  <si>
    <t>ConfirmedTWLY.ConfirmedRevenueOtherSegmentExcludingFODepartureYear</t>
  </si>
  <si>
    <t>ConfirmedTWLY.ConfirmedRevenueGreeceExcludingFODepartureYear</t>
  </si>
  <si>
    <t>ConfirmedTWLY.ConfirmedRevenueMallorcaExcludingFODepartureYear</t>
  </si>
  <si>
    <t>ConfirmedTWLY.ConfirmedRevenueItalyExcludingFODepartureYear</t>
  </si>
  <si>
    <t>ConfirmedTWLY.ConfirmedRevenueCorsicaExcludingFODepartureYear</t>
  </si>
  <si>
    <t>ConfirmedTWLY.ConfirmedRevenueTurkeyExcludingFODepartureYear</t>
  </si>
  <si>
    <t>ConfirmedTWLY.ConfirmedRevenueFranceExcludingAquitaineExcludingFODepartureYear</t>
  </si>
  <si>
    <t>ConfirmedTWLY.ConfirmedRevenueFranceExcludingFODepartureYear</t>
  </si>
  <si>
    <t>ConfirmedTWLY.ConfirmedRevenueMayDepartureExcludingFODepartureYear</t>
  </si>
  <si>
    <t>ConfirmedTWLY.ConfirmedRevenueJuneDepartureExcludingFODepartureYear</t>
  </si>
  <si>
    <t>ConfirmedTWLY.ConfirmedRevenueJulyDepartureExcludingFODepartureYear</t>
  </si>
  <si>
    <t>ConfirmedTWLY.ConfirmedRevenueAugustDepartureExcludingFODepartureYear</t>
  </si>
  <si>
    <t>ConfirmedTWLY.ConfirmedRevenueSeptemberDepartureExcludingFODepartureYear</t>
  </si>
  <si>
    <t>ConfirmedTWLY.ConfirmedRevenueOctoberDepartureExcludingFODepartureYear</t>
  </si>
  <si>
    <t>ConfirmedTM.ConfirmedBookingTotal</t>
  </si>
  <si>
    <t>ConfirmedTM.ConfirmedRevenueTotal</t>
  </si>
  <si>
    <t>ConfirmedTM.ConfirmedPAXCount</t>
  </si>
  <si>
    <t>ConfirmedTM.ConfirmedCommittedFlightSeatsCount</t>
  </si>
  <si>
    <t>ConfirmedTM.ConfirmedAdHocFlightSeatsCount</t>
  </si>
  <si>
    <t>ConfirmedTM.ConfirmedBookingTotalExcludingFO</t>
  </si>
  <si>
    <t>ConfirmedTM.ConfirmedRevenueTotalExcludingFO</t>
  </si>
  <si>
    <t>ConfirmedTM.ConfirmedBookingSalesCentreExcludingFO</t>
  </si>
  <si>
    <t>ConfirmedTM.ConfirmedBookingWebsiteExcludingFO</t>
  </si>
  <si>
    <t>ConfirmedTM.ConfirmedRevenueSalesCentreExcludingFO</t>
  </si>
  <si>
    <t>ConfirmedTM.ConfirmedRevenueWebsiteExcludingFO</t>
  </si>
  <si>
    <t>ConfirmedTM.ConfirmedBookingPastClientExcludingFO</t>
  </si>
  <si>
    <t>ConfirmedTM.ConfirmedBookingNewClientExcludingFO</t>
  </si>
  <si>
    <t>ConfirmedTM.ConfirmedBookingUKAgent</t>
  </si>
  <si>
    <t>ConfirmedTM.ConfirmedBookingOverseasAgent</t>
  </si>
  <si>
    <t>ConfirmedTM.ConfirmedBookingPreschoolSegmentExcludingFO</t>
  </si>
  <si>
    <t>ConfirmedTM.ConfirmedBookingYoungFamilySegmentExcludingFO</t>
  </si>
  <si>
    <t>ConfirmedTM.ConfirmedBookingOlderFamilySegmentExcludingFO</t>
  </si>
  <si>
    <t>ConfirmedTM.ConfirmedBookingYoungCoupleSegmentExcludingFO</t>
  </si>
  <si>
    <t>ConfirmedTM.ConfirmedBookingOlderCoupleSegmentExcludingFO</t>
  </si>
  <si>
    <t>ConfirmedTM.ConfirmedBookingAdultGroupSegmentExcludingFO</t>
  </si>
  <si>
    <t>ConfirmedTM.ConfirmedBookingOtherSegmentExcludingFO</t>
  </si>
  <si>
    <t>ConfirmedTM.ConfirmedBookingGreeceExcludingFO</t>
  </si>
  <si>
    <t>ConfirmedTM.ConfirmedBookingMallorcaExcludingFO</t>
  </si>
  <si>
    <t>ConfirmedTM.ConfirmedBookingItalyExcludingFO</t>
  </si>
  <si>
    <t>ConfirmedTM.ConfirmedBookingCorsicaExcludingFO</t>
  </si>
  <si>
    <t>ConfirmedTM.ConfirmedBookingTurkeyExcludingFO</t>
  </si>
  <si>
    <t>ConfirmedTM.ConfirmedBookingFranceExcludingAquitaineExcludingFO</t>
  </si>
  <si>
    <t>ConfirmedTM.ConfirmedBookingFranceExcludingFO</t>
  </si>
  <si>
    <t>ConfirmedTM.ConfirmedBookingMayDepartureExcludingFO</t>
  </si>
  <si>
    <t>ConfirmedTM.ConfirmedBookingJuneDepartureExcludingFO</t>
  </si>
  <si>
    <t>ConfirmedTM.ConfirmedBookingJulyDepartureExcludingFO</t>
  </si>
  <si>
    <t>ConfirmedTM.ConfirmedBookingAugustDepartureExcludingFO</t>
  </si>
  <si>
    <t>ConfirmedTM.ConfirmedBookingSeptemberDepartureExcludingFO</t>
  </si>
  <si>
    <t>ConfirmedTM.ConfirmedBookingOctoberDepartureExcludingFO</t>
  </si>
  <si>
    <t>ConfirmedTM.ConfirmedRevenuePastClientExcludingFO</t>
  </si>
  <si>
    <t>ConfirmedTM.ConfirmedRevenueNewClientExcludingFO</t>
  </si>
  <si>
    <t>ConfirmedTM.ConfirmedRevenueUKAgent</t>
  </si>
  <si>
    <t>ConfirmedTM.ConfirmedRevenueOverseasAgent</t>
  </si>
  <si>
    <t>ConfirmedTM.ConfirmedRevenuePreschoolSegmentExcludingFO</t>
  </si>
  <si>
    <t>ConfirmedTM.ConfirmedRevenueYoungFamilySegmentExcludingFO</t>
  </si>
  <si>
    <t>ConfirmedTM.ConfirmedRevenueOlderFamilySegmentExcludingFO</t>
  </si>
  <si>
    <t>ConfirmedTM.ConfirmedRevenueYoungCoupleSegmentExcludingFO</t>
  </si>
  <si>
    <t>ConfirmedTM.ConfirmedRevenueOlderCoupleSegmentExcludingFO</t>
  </si>
  <si>
    <t>ConfirmedTM.ConfirmedRevenueAdultGroupSegmentExcludingFO</t>
  </si>
  <si>
    <t>ConfirmedTM.ConfirmedRevenueOtherSegmentExcludingFO</t>
  </si>
  <si>
    <t>ConfirmedTM.ConfirmedRevenueGreeceExcludingFO</t>
  </si>
  <si>
    <t>ConfirmedTM.ConfirmedRevenueMallorcaExcludingFO</t>
  </si>
  <si>
    <t>ConfirmedTM.ConfirmedRevenueItalyExcludingFO</t>
  </si>
  <si>
    <t>ConfirmedTM.ConfirmedRevenueCorsicaExcludingFO</t>
  </si>
  <si>
    <t>ConfirmedTM.ConfirmedRevenueTurkeyExcludingFO</t>
  </si>
  <si>
    <t>ConfirmedTM.ConfirmedRevenueFranceExcludingAquitaineExcludingFO</t>
  </si>
  <si>
    <t>ConfirmedTM.ConfirmedRevenueFranceExcludingFO</t>
  </si>
  <si>
    <t>ConfirmedTM.ConfirmedRevenueMayDepartureExcludingFO</t>
  </si>
  <si>
    <t>ConfirmedTM.ConfirmedRevenueJuneDepartureExcludingFO</t>
  </si>
  <si>
    <t>ConfirmedTM.ConfirmedRevenueJulyDepartureExcludingFO</t>
  </si>
  <si>
    <t>ConfirmedTM.ConfirmedRevenueAugustDepartureExcludingFO</t>
  </si>
  <si>
    <t>ConfirmedTM.ConfirmedRevenueSeptemberDepartureExcludingFO</t>
  </si>
  <si>
    <t>ConfirmedTM.ConfirmedRevenueOctoberDepartureExcludingFO</t>
  </si>
  <si>
    <t>ConfirmedTM.ConfirmedBookingTotalDepartureYear</t>
  </si>
  <si>
    <t>ConfirmedTM.ConfirmedRevenueTotalDepartureYear</t>
  </si>
  <si>
    <t>ConfirmedTM.ConfirmedPAXCountDepartureYear</t>
  </si>
  <si>
    <t>ConfirmedTM.ConfirmedCommittedFlightSeatsCountDepartureYear</t>
  </si>
  <si>
    <t>ConfirmedTM.ConfirmedAdHocFlightSeatsCountDepartureYear</t>
  </si>
  <si>
    <t>ConfirmedTM.ConfirmedBookingTotalExcludingFODepartureYear</t>
  </si>
  <si>
    <t>ConfirmedTM.ConfirmedRevenueTotalExcludingFODepartureYear</t>
  </si>
  <si>
    <t>ConfirmedTM.ConfirmedBookingSalesCentreExcludingFODepartureYear</t>
  </si>
  <si>
    <t>ConfirmedTM.ConfirmedBookingWebsiteExcludingFODepartureYear</t>
  </si>
  <si>
    <t>ConfirmedTM.ConfirmedRevenueSalesCentreExcludingFODepartureYear</t>
  </si>
  <si>
    <t>ConfirmedTM.ConfirmedRevenueWebsiteExcludingFODepartureYear</t>
  </si>
  <si>
    <t>ConfirmedTM.ConfirmedBookingPastClientExcludingFODepartureYear</t>
  </si>
  <si>
    <t>ConfirmedTM.ConfirmedBookingNewClientExcludingFODepartureYear</t>
  </si>
  <si>
    <t>ConfirmedTM.ConfirmedBookingUKAgentDepartureYear</t>
  </si>
  <si>
    <t>ConfirmedTM.ConfirmedBookingOverseasAgentDepartureYear</t>
  </si>
  <si>
    <t>ConfirmedTM.ConfirmedBookingPreschoolSegmentExcludingFODepartureYear</t>
  </si>
  <si>
    <t>ConfirmedTM.ConfirmedBookingYoungFamilySegmentExcludingFODepartureYear</t>
  </si>
  <si>
    <t>ConfirmedTM.ConfirmedBookingOlderFamilySegmentExcludingFODepartureYear</t>
  </si>
  <si>
    <t>ConfirmedTM.ConfirmedBookingYoungCoupleSegmentExcludingFODepartureYear</t>
  </si>
  <si>
    <t>ConfirmedTM.ConfirmedBookingOlderCoupleSegmentExcludingFODepartureYear</t>
  </si>
  <si>
    <t>ConfirmedTM.ConfirmedBookingAdultGroupSegmentExcludingFODepartureYear</t>
  </si>
  <si>
    <t>ConfirmedTM.ConfirmedBookingOtherSegmentExcludingFODepartureYear</t>
  </si>
  <si>
    <t>ConfirmedTM.ConfirmedBookingGreeceExcludingFODepartureYear</t>
  </si>
  <si>
    <t>ConfirmedTM.ConfirmedBookingMallorcaExcludingFODepartureYear</t>
  </si>
  <si>
    <t>ConfirmedTM.ConfirmedBookingItalyExcludingFODepartureYear</t>
  </si>
  <si>
    <t>ConfirmedTM.ConfirmedBookingCorsicaExcludingFODepartureYear</t>
  </si>
  <si>
    <t>ConfirmedTM.ConfirmedBookingTurkeyExcludingFODepartureYear</t>
  </si>
  <si>
    <t>ConfirmedTM.ConfirmedBookingFranceExcludingAquitaineExcludingFODepartureYear</t>
  </si>
  <si>
    <t>ConfirmedTM.ConfirmedBookingFranceExcludingFODepartureYear</t>
  </si>
  <si>
    <t>ConfirmedTM.ConfirmedBookingMayDepartureExcludingFODepartureYear</t>
  </si>
  <si>
    <t>ConfirmedTM.ConfirmedBookingJuneDepartureExcludingFODepartureYear</t>
  </si>
  <si>
    <t>ConfirmedTM.ConfirmedBookingJulyDepartureExcludingFODepartureYear</t>
  </si>
  <si>
    <t>ConfirmedTM.ConfirmedBookingAugustDepartureExcludingFODepartureYear</t>
  </si>
  <si>
    <t>ConfirmedTM.ConfirmedBookingSeptemberDepartureExcludingFODepartureYear</t>
  </si>
  <si>
    <t>ConfirmedTM.ConfirmedBookingOctoberDepartureExcludingFODepartureYear</t>
  </si>
  <si>
    <t>ConfirmedTM.ConfirmedRevenuePastClientExcludingFODepartureYear</t>
  </si>
  <si>
    <t>ConfirmedTM.ConfirmedRevenueNewClientExcludingFODepartureYear</t>
  </si>
  <si>
    <t>ConfirmedTM.ConfirmedRevenueUKAgentDepartureYear</t>
  </si>
  <si>
    <t>ConfirmedTM.ConfirmedRevenueOverseasAgentDepartureYear</t>
  </si>
  <si>
    <t>ConfirmedTM.ConfirmedRevenuePreschoolSegmentExcludingFODepartureYear</t>
  </si>
  <si>
    <t>ConfirmedTM.ConfirmedRevenueYoungFamilySegmentExcludingFODepartureYear</t>
  </si>
  <si>
    <t>ConfirmedTM.ConfirmedRevenueOlderFamilySegmentExcludingFODepartureYear</t>
  </si>
  <si>
    <t>ConfirmedTM.ConfirmedRevenueYoungCoupleSegmentExcludingFODepartureYear</t>
  </si>
  <si>
    <t>ConfirmedTM.ConfirmedRevenueOlderCoupleSegmentExcludingFODepartureYear</t>
  </si>
  <si>
    <t>ConfirmedTM.ConfirmedRevenueAdultGroupSegmentExcludingFODepartureYear</t>
  </si>
  <si>
    <t>ConfirmedTM.ConfirmedRevenueOtherSegmentExcludingFODepartureYear</t>
  </si>
  <si>
    <t>ConfirmedTM.ConfirmedRevenueGreeceExcludingFODepartureYear</t>
  </si>
  <si>
    <t>ConfirmedTM.ConfirmedRevenueMallorcaExcludingFODepartureYear</t>
  </si>
  <si>
    <t>ConfirmedTM.ConfirmedRevenueItalyExcludingFODepartureYear</t>
  </si>
  <si>
    <t>ConfirmedTM.ConfirmedRevenueCorsicaExcludingFODepartureYear</t>
  </si>
  <si>
    <t>ConfirmedTM.ConfirmedRevenueTurkeyExcludingFODepartureYear</t>
  </si>
  <si>
    <t>ConfirmedTM.ConfirmedRevenueFranceExcludingAquitaineExcludingFODepartureYear</t>
  </si>
  <si>
    <t>ConfirmedTM.ConfirmedRevenueFranceExcludingFODepartureYear</t>
  </si>
  <si>
    <t>ConfirmedTM.ConfirmedRevenueMayDepartureExcludingFODepartureYear</t>
  </si>
  <si>
    <t>ConfirmedTM.ConfirmedRevenueJuneDepartureExcludingFODepartureYear</t>
  </si>
  <si>
    <t>ConfirmedTM.ConfirmedRevenueJulyDepartureExcludingFODepartureYear</t>
  </si>
  <si>
    <t>ConfirmedTM.ConfirmedRevenueAugustDepartureExcludingFODepartureYear</t>
  </si>
  <si>
    <t>ConfirmedTM.ConfirmedRevenueSeptemberDepartureExcludingFODepartureYear</t>
  </si>
  <si>
    <t>ConfirmedTM.ConfirmedRevenueOctoberDepartureExcludingFODepartureYear</t>
  </si>
  <si>
    <t>ConfirmedTMLY.ConfirmedBookingTotal</t>
  </si>
  <si>
    <t>ConfirmedTMLY.ConfirmedRevenueTotal</t>
  </si>
  <si>
    <t>ConfirmedTMLY.ConfirmedPAXCount</t>
  </si>
  <si>
    <t>ConfirmedTMLY.ConfirmedCommittedFlightSeatsCount</t>
  </si>
  <si>
    <t>ConfirmedTMLY.ConfirmedAdHocFlightSeatsCount</t>
  </si>
  <si>
    <t>ConfirmedTMLY.ConfirmedBookingTotalExcludingFO</t>
  </si>
  <si>
    <t>ConfirmedTMLY.ConfirmedRevenueTotalExcludingFO</t>
  </si>
  <si>
    <t>ConfirmedTMLY.ConfirmedBookingSalesCentreExcludingFO</t>
  </si>
  <si>
    <t>ConfirmedTMLY.ConfirmedBookingWebsiteExcludingFO</t>
  </si>
  <si>
    <t>ConfirmedTMLY.ConfirmedRevenueSalesCentreExcludingFO</t>
  </si>
  <si>
    <t>ConfirmedTMLY.ConfirmedRevenueWebsiteExcludingFO</t>
  </si>
  <si>
    <t>ConfirmedTMLY.ConfirmedBookingPastClientExcludingFO</t>
  </si>
  <si>
    <t>ConfirmedTMLY.ConfirmedBookingNewClientExcludingFO</t>
  </si>
  <si>
    <t>ConfirmedTMLY.ConfirmedBookingUKAgent</t>
  </si>
  <si>
    <t>ConfirmedTMLY.ConfirmedBookingOverseasAgent</t>
  </si>
  <si>
    <t>ConfirmedTMLY.ConfirmedBookingPreschoolSegmentExcludingFO</t>
  </si>
  <si>
    <t>ConfirmedTMLY.ConfirmedBookingYoungFamilySegmentExcludingFO</t>
  </si>
  <si>
    <t>ConfirmedTMLY.ConfirmedBookingOlderFamilySegmentExcludingFO</t>
  </si>
  <si>
    <t>ConfirmedTMLY.ConfirmedBookingYoungCoupleSegmentExcludingFO</t>
  </si>
  <si>
    <t>ConfirmedTMLY.ConfirmedBookingOlderCoupleSegmentExcludingFO</t>
  </si>
  <si>
    <t>ConfirmedTMLY.ConfirmedBookingAdultGroupSegmentExcludingFO</t>
  </si>
  <si>
    <t>ConfirmedTMLY.ConfirmedBookingOtherSegmentExcludingFO</t>
  </si>
  <si>
    <t>ConfirmedTMLY.ConfirmedBookingGreeceExcludingFO</t>
  </si>
  <si>
    <t>ConfirmedTMLY.ConfirmedBookingMallorcaExcludingFO</t>
  </si>
  <si>
    <t>ConfirmedTMLY.ConfirmedBookingItalyExcludingFO</t>
  </si>
  <si>
    <t>ConfirmedTMLY.ConfirmedBookingCorsicaExcludingFO</t>
  </si>
  <si>
    <t>ConfirmedTMLY.ConfirmedBookingTurkeyExcludingFO</t>
  </si>
  <si>
    <t>ConfirmedTMLY.ConfirmedBookingFranceExcludingAquitaineExcludingFO</t>
  </si>
  <si>
    <t>ConfirmedTMLY.ConfirmedBookingFranceExcludingFO</t>
  </si>
  <si>
    <t>ConfirmedTMLY.ConfirmedBookingMayDepartureExcludingFO</t>
  </si>
  <si>
    <t>ConfirmedTMLY.ConfirmedBookingJuneDepartureExcludingFO</t>
  </si>
  <si>
    <t>ConfirmedTMLY.ConfirmedBookingJulyDepartureExcludingFO</t>
  </si>
  <si>
    <t>ConfirmedTMLY.ConfirmedBookingAugustDepartureExcludingFO</t>
  </si>
  <si>
    <t>ConfirmedTMLY.ConfirmedBookingSeptemberDepartureExcludingFO</t>
  </si>
  <si>
    <t>ConfirmedTMLY.ConfirmedBookingOctoberDepartureExcludingFO</t>
  </si>
  <si>
    <t>ConfirmedTMLY.ConfirmedRevenuePastClientExcludingFO</t>
  </si>
  <si>
    <t>ConfirmedTMLY.ConfirmedRevenueNewClientExcludingFO</t>
  </si>
  <si>
    <t>ConfirmedTMLY.ConfirmedRevenueUKAgent</t>
  </si>
  <si>
    <t>ConfirmedTMLY.ConfirmedRevenueOverseasAgent</t>
  </si>
  <si>
    <t>ConfirmedTMLY.ConfirmedRevenuePreschoolSegmentExcludingFO</t>
  </si>
  <si>
    <t>ConfirmedTMLY.ConfirmedRevenueYoungFamilySegmentExcludingFO</t>
  </si>
  <si>
    <t>ConfirmedTMLY.ConfirmedRevenueOlderFamilySegmentExcludingFO</t>
  </si>
  <si>
    <t>ConfirmedTMLY.ConfirmedRevenueYoungCoupleSegmentExcludingFO</t>
  </si>
  <si>
    <t>ConfirmedTMLY.ConfirmedRevenueOlderCoupleSegmentExcludingFO</t>
  </si>
  <si>
    <t>ConfirmedTMLY.ConfirmedRevenueAdultGroupSegmentExcludingFO</t>
  </si>
  <si>
    <t>ConfirmedTMLY.ConfirmedRevenueOtherSegmentExcludingFO</t>
  </si>
  <si>
    <t>ConfirmedTMLY.ConfirmedRevenueGreeceExcludingFO</t>
  </si>
  <si>
    <t>ConfirmedTMLY.ConfirmedRevenueMallorcaExcludingFO</t>
  </si>
  <si>
    <t>ConfirmedTMLY.ConfirmedRevenueItalyExcludingFO</t>
  </si>
  <si>
    <t>ConfirmedTMLY.ConfirmedRevenueCorsicaExcludingFO</t>
  </si>
  <si>
    <t>ConfirmedTMLY.ConfirmedRevenueTurkeyExcludingFO</t>
  </si>
  <si>
    <t>ConfirmedTMLY.ConfirmedRevenueFranceExcludingAquitaineExcludingFO</t>
  </si>
  <si>
    <t>ConfirmedTMLY.ConfirmedRevenueFranceExcludingFO</t>
  </si>
  <si>
    <t>ConfirmedTMLY.ConfirmedRevenueMayDepartureExcludingFO</t>
  </si>
  <si>
    <t>ConfirmedTMLY.ConfirmedRevenueJuneDepartureExcludingFO</t>
  </si>
  <si>
    <t>ConfirmedTMLY.ConfirmedRevenueJulyDepartureExcludingFO</t>
  </si>
  <si>
    <t>ConfirmedTMLY.ConfirmedRevenueAugustDepartureExcludingFO</t>
  </si>
  <si>
    <t>ConfirmedTMLY.ConfirmedRevenueSeptemberDepartureExcludingFO</t>
  </si>
  <si>
    <t>ConfirmedTMLY.ConfirmedRevenueOctoberDepartureExcludingFO</t>
  </si>
  <si>
    <t>ConfirmedTMLY.ConfirmedBookingTotalDepartureYear</t>
  </si>
  <si>
    <t>ConfirmedTMLY.ConfirmedRevenueTotalDepartureYear</t>
  </si>
  <si>
    <t>ConfirmedTMLY.ConfirmedPAXCountDepartureYear</t>
  </si>
  <si>
    <t>ConfirmedTMLY.ConfirmedCommittedFlightSeatsCountDepartureYear</t>
  </si>
  <si>
    <t>ConfirmedTMLY.ConfirmedAdHocFlightSeatsCountDepartureYear</t>
  </si>
  <si>
    <t>ConfirmedTMLY.ConfirmedBookingTotalExcludingFODepartureYear</t>
  </si>
  <si>
    <t>ConfirmedTMLY.ConfirmedRevenueTotalExcludingFODepartureYear</t>
  </si>
  <si>
    <t>ConfirmedTMLY.ConfirmedBookingSalesCentreExcludingFODepartureYear</t>
  </si>
  <si>
    <t>ConfirmedTMLY.ConfirmedBookingWebsiteExcludingFODepartureYear</t>
  </si>
  <si>
    <t>ConfirmedTMLY.ConfirmedRevenueSalesCentreExcludingFODepartureYear</t>
  </si>
  <si>
    <t>ConfirmedTMLY.ConfirmedRevenueWebsiteExcludingFODepartureYear</t>
  </si>
  <si>
    <t>ConfirmedTMLY.ConfirmedBookingPastClientExcludingFODepartureYear</t>
  </si>
  <si>
    <t>ConfirmedTMLY.ConfirmedBookingNewClientExcludingFODepartureYear</t>
  </si>
  <si>
    <t>ConfirmedTMLY.ConfirmedBookingUKAgentDepartureYear</t>
  </si>
  <si>
    <t>ConfirmedTMLY.ConfirmedBookingOverseasAgentDepartureYear</t>
  </si>
  <si>
    <t>ConfirmedTMLY.ConfirmedBookingPreschoolSegmentExcludingFODepartureYear</t>
  </si>
  <si>
    <t>ConfirmedTMLY.ConfirmedBookingYoungFamilySegmentExcludingFODepartureYear</t>
  </si>
  <si>
    <t>ConfirmedTMLY.ConfirmedBookingOlderFamilySegmentExcludingFODepartureYear</t>
  </si>
  <si>
    <t>ConfirmedTMLY.ConfirmedBookingYoungCoupleSegmentExcludingFODepartureYear</t>
  </si>
  <si>
    <t>ConfirmedTMLY.ConfirmedBookingOlderCoupleSegmentExcludingFODepartureYear</t>
  </si>
  <si>
    <t>ConfirmedTMLY.ConfirmedBookingAdultGroupSegmentExcludingFODepartureYear</t>
  </si>
  <si>
    <t>ConfirmedTMLY.ConfirmedBookingOtherSegmentExcludingFODepartureYear</t>
  </si>
  <si>
    <t>ConfirmedTMLY.ConfirmedBookingGreeceExcludingFODepartureYear</t>
  </si>
  <si>
    <t>ConfirmedTMLY.ConfirmedBookingMallorcaExcludingFODepartureYear</t>
  </si>
  <si>
    <t>ConfirmedTMLY.ConfirmedBookingItalyExcludingFODepartureYear</t>
  </si>
  <si>
    <t>ConfirmedTMLY.ConfirmedBookingCorsicaExcludingFODepartureYear</t>
  </si>
  <si>
    <t>ConfirmedTMLY.ConfirmedBookingTurkeyExcludingFODepartureYear</t>
  </si>
  <si>
    <t>ConfirmedTMLY.ConfirmedBookingFranceExcludingAquitaineExcludingFODepartureYear</t>
  </si>
  <si>
    <t>ConfirmedTMLY.ConfirmedBookingFranceExcludingFODepartureYear</t>
  </si>
  <si>
    <t>ConfirmedTMLY.ConfirmedBookingMayDepartureExcludingFODepartureYear</t>
  </si>
  <si>
    <t>ConfirmedTMLY.ConfirmedBookingJuneDepartureExcludingFODepartureYear</t>
  </si>
  <si>
    <t>ConfirmedTMLY.ConfirmedBookingJulyDepartureExcludingFODepartureYear</t>
  </si>
  <si>
    <t>ConfirmedTMLY.ConfirmedBookingAugustDepartureExcludingFODepartureYear</t>
  </si>
  <si>
    <t>ConfirmedTMLY.ConfirmedBookingSeptemberDepartureExcludingFODepartureYear</t>
  </si>
  <si>
    <t>ConfirmedTMLY.ConfirmedBookingOctoberDepartureExcludingFODepartureYear</t>
  </si>
  <si>
    <t>ConfirmedTMLY.ConfirmedRevenuePastClientExcludingFODepartureYear</t>
  </si>
  <si>
    <t>ConfirmedTMLY.ConfirmedRevenueNewClientExcludingFODepartureYear</t>
  </si>
  <si>
    <t>ConfirmedTMLY.ConfirmedRevenueUKAgentDepartureYear</t>
  </si>
  <si>
    <t>ConfirmedTMLY.ConfirmedRevenueOverseasAgentDepartureYear</t>
  </si>
  <si>
    <t>ConfirmedTMLY.ConfirmedRevenuePreschoolSegmentExcludingFODepartureYear</t>
  </si>
  <si>
    <t>ConfirmedTMLY.ConfirmedRevenueYoungFamilySegmentExcludingFODepartureYear</t>
  </si>
  <si>
    <t>ConfirmedTMLY.ConfirmedRevenueOlderFamilySegmentExcludingFODepartureYear</t>
  </si>
  <si>
    <t>ConfirmedTMLY.ConfirmedRevenueYoungCoupleSegmentExcludingFODepartureYear</t>
  </si>
  <si>
    <t>ConfirmedTMLY.ConfirmedRevenueOlderCoupleSegmentExcludingFODepartureYear</t>
  </si>
  <si>
    <t>ConfirmedTMLY.ConfirmedRevenueAdultGroupSegmentExcludingFODepartureYear</t>
  </si>
  <si>
    <t>ConfirmedTMLY.ConfirmedRevenueOtherSegmentExcludingFODepartureYear</t>
  </si>
  <si>
    <t>ConfirmedTMLY.ConfirmedRevenueGreeceExcludingFODepartureYear</t>
  </si>
  <si>
    <t>ConfirmedTMLY.ConfirmedRevenueMallorcaExcludingFODepartureYear</t>
  </si>
  <si>
    <t>ConfirmedTMLY.ConfirmedRevenueItalyExcludingFODepartureYear</t>
  </si>
  <si>
    <t>ConfirmedTMLY.ConfirmedRevenueCorsicaExcludingFODepartureYear</t>
  </si>
  <si>
    <t>ConfirmedTMLY.ConfirmedRevenueTurkeyExcludingFODepartureYear</t>
  </si>
  <si>
    <t>ConfirmedTMLY.ConfirmedRevenueFranceExcludingAquitaineExcludingFODepartureYear</t>
  </si>
  <si>
    <t>ConfirmedTMLY.ConfirmedRevenueFranceExcludingFODepartureYear</t>
  </si>
  <si>
    <t>ConfirmedTMLY.ConfirmedRevenueMayDepartureExcludingFODepartureYear</t>
  </si>
  <si>
    <t>ConfirmedTMLY.ConfirmedRevenueJuneDepartureExcludingFODepartureYear</t>
  </si>
  <si>
    <t>ConfirmedTMLY.ConfirmedRevenueJulyDepartureExcludingFODepartureYear</t>
  </si>
  <si>
    <t>ConfirmedTMLY.ConfirmedRevenueAugustDepartureExcludingFODepartureYear</t>
  </si>
  <si>
    <t>ConfirmedTMLY.ConfirmedRevenueSeptemberDepartureExcludingFODepartureYear</t>
  </si>
  <si>
    <t>ConfirmedTMLY.ConfirmedRevenueOctoberDepartureExcludingFODepartureYear</t>
  </si>
  <si>
    <t>ConfirmedTY.ConfirmedBookingTotal</t>
  </si>
  <si>
    <t>ConfirmedTY.ConfirmedRevenueTotal</t>
  </si>
  <si>
    <t>ConfirmedTY.ConfirmedPAXCount</t>
  </si>
  <si>
    <t>ConfirmedTY.ConfirmedCommittedFlightSeatsCount</t>
  </si>
  <si>
    <t>ConfirmedTY.ConfirmedAdHocFlightSeatsCount</t>
  </si>
  <si>
    <t>ConfirmedTY.ConfirmedBookingTotalExcludingFO</t>
  </si>
  <si>
    <t>ConfirmedTY.ConfirmedRevenueTotalExcludingFO</t>
  </si>
  <si>
    <t>ConfirmedTY.ConfirmedBookingSalesCentreExcludingFO</t>
  </si>
  <si>
    <t>ConfirmedTY.ConfirmedBookingWebsiteExcludingFO</t>
  </si>
  <si>
    <t>ConfirmedTY.ConfirmedRevenueSalesCentreExcludingFO</t>
  </si>
  <si>
    <t>ConfirmedTY.ConfirmedRevenueWebsiteExcludingFO</t>
  </si>
  <si>
    <t>ConfirmedTY.ConfirmedBookingPastClientExcludingFO</t>
  </si>
  <si>
    <t>ConfirmedTY.ConfirmedBookingNewClientExcludingFO</t>
  </si>
  <si>
    <t>ConfirmedTY.ConfirmedBookingUKAgent</t>
  </si>
  <si>
    <t>ConfirmedTY.ConfirmedBookingOverseasAgent</t>
  </si>
  <si>
    <t>ConfirmedTY.ConfirmedBookingPreschoolSegmentExcludingFO</t>
  </si>
  <si>
    <t>ConfirmedTY.ConfirmedBookingYoungFamilySegmentExcludingFO</t>
  </si>
  <si>
    <t>ConfirmedTY.ConfirmedBookingOlderFamilySegmentExcludingFO</t>
  </si>
  <si>
    <t>ConfirmedTY.ConfirmedBookingYoungCoupleSegmentExcludingFO</t>
  </si>
  <si>
    <t>ConfirmedTY.ConfirmedBookingOlderCoupleSegmentExcludingFO</t>
  </si>
  <si>
    <t>ConfirmedTY.ConfirmedBookingAdultGroupSegmentExcludingFO</t>
  </si>
  <si>
    <t>ConfirmedTY.ConfirmedBookingOtherSegmentExcludingFO</t>
  </si>
  <si>
    <t>ConfirmedTY.ConfirmedBookingGreeceExcludingFO</t>
  </si>
  <si>
    <t>ConfirmedTY.ConfirmedBookingMallorcaExcludingFO</t>
  </si>
  <si>
    <t>ConfirmedTY.ConfirmedBookingItalyExcludingFO</t>
  </si>
  <si>
    <t>ConfirmedTY.ConfirmedBookingCorsicaExcludingFO</t>
  </si>
  <si>
    <t>ConfirmedTY.ConfirmedBookingTurkeyExcludingFO</t>
  </si>
  <si>
    <t>ConfirmedTY.ConfirmedBookingFranceExcludingAquitaineExcludingFO</t>
  </si>
  <si>
    <t>ConfirmedTY.ConfirmedBookingFranceExcludingFO</t>
  </si>
  <si>
    <t>ConfirmedTY.ConfirmedBookingMayDepartureExcludingFO</t>
  </si>
  <si>
    <t>ConfirmedTY.ConfirmedBookingJuneDepartureExcludingFO</t>
  </si>
  <si>
    <t>ConfirmedTY.ConfirmedBookingJulyDepartureExcludingFO</t>
  </si>
  <si>
    <t>ConfirmedTY.ConfirmedBookingAugustDepartureExcludingFO</t>
  </si>
  <si>
    <t>ConfirmedTY.ConfirmedBookingSeptemberDepartureExcludingFO</t>
  </si>
  <si>
    <t>ConfirmedTY.ConfirmedBookingOctoberDepartureExcludingFO</t>
  </si>
  <si>
    <t>ConfirmedTY.ConfirmedRevenuePastClientExcludingFO</t>
  </si>
  <si>
    <t>ConfirmedTY.ConfirmedRevenueNewClientExcludingFO</t>
  </si>
  <si>
    <t>ConfirmedTY.ConfirmedRevenueUKAgent</t>
  </si>
  <si>
    <t>ConfirmedTY.ConfirmedRevenueOverseasAgent</t>
  </si>
  <si>
    <t>ConfirmedTY.ConfirmedRevenuePreschoolSegmentExcludingFO</t>
  </si>
  <si>
    <t>ConfirmedTY.ConfirmedRevenueYoungFamilySegmentExcludingFO</t>
  </si>
  <si>
    <t>ConfirmedTY.ConfirmedRevenueOlderFamilySegmentExcludingFO</t>
  </si>
  <si>
    <t>ConfirmedTY.ConfirmedRevenueYoungCoupleSegmentExcludingFO</t>
  </si>
  <si>
    <t>ConfirmedTY.ConfirmedRevenueOlderCoupleSegmentExcludingFO</t>
  </si>
  <si>
    <t>ConfirmedTY.ConfirmedRevenueAdultGroupSegmentExcludingFO</t>
  </si>
  <si>
    <t>ConfirmedTY.ConfirmedRevenueOtherSegmentExcludingFO</t>
  </si>
  <si>
    <t>ConfirmedTY.ConfirmedRevenueGreeceExcludingFO</t>
  </si>
  <si>
    <t>ConfirmedTY.ConfirmedRevenueMallorcaExcludingFO</t>
  </si>
  <si>
    <t>ConfirmedTY.ConfirmedRevenueItalyExcludingFO</t>
  </si>
  <si>
    <t>ConfirmedTY.ConfirmedRevenueCorsicaExcludingFO</t>
  </si>
  <si>
    <t>ConfirmedTY.ConfirmedRevenueTurkeyExcludingFO</t>
  </si>
  <si>
    <t>ConfirmedTY.ConfirmedRevenueFranceExcludingAquitaineExcludingFO</t>
  </si>
  <si>
    <t>ConfirmedTY.ConfirmedRevenueFranceExcludingFO</t>
  </si>
  <si>
    <t>ConfirmedTY.ConfirmedRevenueMayDepartureExcludingFO</t>
  </si>
  <si>
    <t>ConfirmedTY.ConfirmedRevenueJuneDepartureExcludingFO</t>
  </si>
  <si>
    <t>ConfirmedTY.ConfirmedRevenueJulyDepartureExcludingFO</t>
  </si>
  <si>
    <t>ConfirmedTY.ConfirmedRevenueAugustDepartureExcludingFO</t>
  </si>
  <si>
    <t>ConfirmedTY.ConfirmedRevenueSeptemberDepartureExcludingFO</t>
  </si>
  <si>
    <t>ConfirmedTY.ConfirmedRevenueOctoberDepartureExcludingFO</t>
  </si>
  <si>
    <t>ConfirmedTY.ConfirmedBookingTotalDepartureYear</t>
  </si>
  <si>
    <t>ConfirmedTY.ConfirmedRevenueTotalDepartureYear</t>
  </si>
  <si>
    <t>ConfirmedTY.ConfirmedPAXCountDepartureYear</t>
  </si>
  <si>
    <t>ConfirmedTY.ConfirmedCommittedFlightSeatsCountDepartureYear</t>
  </si>
  <si>
    <t>ConfirmedTY.ConfirmedAdHocFlightSeatsCountDepartureYear</t>
  </si>
  <si>
    <t>ConfirmedTY.ConfirmedBookingTotalExcludingFODepartureYear</t>
  </si>
  <si>
    <t>ConfirmedTY.ConfirmedRevenueTotalExcludingFODepartureYear</t>
  </si>
  <si>
    <t>ConfirmedTY.ConfirmedBookingSalesCentreExcludingFODepartureYear</t>
  </si>
  <si>
    <t>ConfirmedTY.ConfirmedBookingWebsiteExcludingFODepartureYear</t>
  </si>
  <si>
    <t>ConfirmedTY.ConfirmedRevenueSalesCentreExcludingFODepartureYear</t>
  </si>
  <si>
    <t>ConfirmedTY.ConfirmedRevenueWebsiteExcludingFODepartureYear</t>
  </si>
  <si>
    <t>ConfirmedTY.ConfirmedBookingPastClientExcludingFODepartureYear</t>
  </si>
  <si>
    <t>ConfirmedTY.ConfirmedBookingNewClientExcludingFODepartureYear</t>
  </si>
  <si>
    <t>ConfirmedTY.ConfirmedBookingUKAgentDepartureYear</t>
  </si>
  <si>
    <t>ConfirmedTY.ConfirmedBookingOverseasAgentDepartureYear</t>
  </si>
  <si>
    <t>ConfirmedTY.ConfirmedBookingPreschoolSegmentExcludingFODepartureYear</t>
  </si>
  <si>
    <t>ConfirmedTY.ConfirmedBookingYoungFamilySegmentExcludingFODepartureYear</t>
  </si>
  <si>
    <t>ConfirmedTY.ConfirmedBookingOlderFamilySegmentExcludingFODepartureYear</t>
  </si>
  <si>
    <t>ConfirmedTY.ConfirmedBookingYoungCoupleSegmentExcludingFODepartureYear</t>
  </si>
  <si>
    <t>ConfirmedTY.ConfirmedBookingOlderCoupleSegmentExcludingFODepartureYear</t>
  </si>
  <si>
    <t>ConfirmedTY.ConfirmedBookingAdultGroupSegmentExcludingFODepartureYear</t>
  </si>
  <si>
    <t>ConfirmedTY.ConfirmedBookingOtherSegmentExcludingFODepartureYear</t>
  </si>
  <si>
    <t>ConfirmedTY.ConfirmedBookingGreeceExcludingFODepartureYear</t>
  </si>
  <si>
    <t>ConfirmedTY.ConfirmedBookingMallorcaExcludingFODepartureYear</t>
  </si>
  <si>
    <t>ConfirmedTY.ConfirmedBookingItalyExcludingFODepartureYear</t>
  </si>
  <si>
    <t>ConfirmedTY.ConfirmedBookingCorsicaExcludingFODepartureYear</t>
  </si>
  <si>
    <t>ConfirmedTY.ConfirmedBookingTurkeyExcludingFODepartureYear</t>
  </si>
  <si>
    <t>ConfirmedTY.ConfirmedBookingFranceExcludingAquitaineExcludingFODepartureYear</t>
  </si>
  <si>
    <t>ConfirmedTY.ConfirmedBookingFranceExcludingFODepartureYear</t>
  </si>
  <si>
    <t>ConfirmedTY.ConfirmedBookingMayDepartureExcludingFODepartureYear</t>
  </si>
  <si>
    <t>ConfirmedTY.ConfirmedBookingJuneDepartureExcludingFODepartureYear</t>
  </si>
  <si>
    <t>ConfirmedTY.ConfirmedBookingJulyDepartureExcludingFODepartureYear</t>
  </si>
  <si>
    <t>ConfirmedTY.ConfirmedBookingAugustDepartureExcludingFODepartureYear</t>
  </si>
  <si>
    <t>ConfirmedTY.ConfirmedBookingSeptemberDepartureExcludingFODepartureYear</t>
  </si>
  <si>
    <t>ConfirmedTY.ConfirmedBookingOctoberDepartureExcludingFODepartureYear</t>
  </si>
  <si>
    <t>ConfirmedTY.ConfirmedRevenuePastClientExcludingFODepartureYear</t>
  </si>
  <si>
    <t>ConfirmedTY.ConfirmedRevenueNewClientExcludingFODepartureYear</t>
  </si>
  <si>
    <t>ConfirmedTY.ConfirmedRevenueUKAgentDepartureYear</t>
  </si>
  <si>
    <t>ConfirmedTY.ConfirmedRevenueOverseasAgentDepartureYear</t>
  </si>
  <si>
    <t>ConfirmedTY.ConfirmedRevenuePreschoolSegmentExcludingFODepartureYear</t>
  </si>
  <si>
    <t>ConfirmedTY.ConfirmedRevenueYoungFamilySegmentExcludingFODepartureYear</t>
  </si>
  <si>
    <t>ConfirmedTY.ConfirmedRevenueOlderFamilySegmentExcludingFODepartureYear</t>
  </si>
  <si>
    <t>ConfirmedTY.ConfirmedRevenueYoungCoupleSegmentExcludingFODepartureYear</t>
  </si>
  <si>
    <t>ConfirmedTY.ConfirmedRevenueOlderCoupleSegmentExcludingFODepartureYear</t>
  </si>
  <si>
    <t>ConfirmedTY.ConfirmedRevenueAdultGroupSegmentExcludingFODepartureYear</t>
  </si>
  <si>
    <t>ConfirmedTY.ConfirmedRevenueOtherSegmentExcludingFODepartureYear</t>
  </si>
  <si>
    <t>ConfirmedTY.ConfirmedRevenueGreeceExcludingFODepartureYear</t>
  </si>
  <si>
    <t>ConfirmedTY.ConfirmedRevenueMallorcaExcludingFODepartureYear</t>
  </si>
  <si>
    <t>ConfirmedTY.ConfirmedRevenueItalyExcludingFODepartureYear</t>
  </si>
  <si>
    <t>ConfirmedTY.ConfirmedRevenueCorsicaExcludingFODepartureYear</t>
  </si>
  <si>
    <t>ConfirmedTY.ConfirmedRevenueTurkeyExcludingFODepartureYear</t>
  </si>
  <si>
    <t>ConfirmedTY.ConfirmedRevenueFranceExcludingAquitaineExcludingFODepartureYear</t>
  </si>
  <si>
    <t>ConfirmedTY.ConfirmedRevenueFranceExcludingFODepartureYear</t>
  </si>
  <si>
    <t>ConfirmedTY.ConfirmedRevenueMayDepartureExcludingFODepartureYear</t>
  </si>
  <si>
    <t>ConfirmedTY.ConfirmedRevenueJuneDepartureExcludingFODepartureYear</t>
  </si>
  <si>
    <t>ConfirmedTY.ConfirmedRevenueJulyDepartureExcludingFODepartureYear</t>
  </si>
  <si>
    <t>ConfirmedTY.ConfirmedRevenueAugustDepartureExcludingFODepartureYear</t>
  </si>
  <si>
    <t>ConfirmedTY.ConfirmedRevenueSeptemberDepartureExcludingFODepartureYear</t>
  </si>
  <si>
    <t>ConfirmedTY.ConfirmedRevenueOctoberDepartureExcludingFODepartureYear</t>
  </si>
  <si>
    <t>ConfirmedLY.ConfirmedBookingTotal</t>
  </si>
  <si>
    <t>ConfirmedLY.ConfirmedRevenueTotal</t>
  </si>
  <si>
    <t>ConfirmedLY.ConfirmedPAXCount</t>
  </si>
  <si>
    <t>ConfirmedLY.ConfirmedCommittedFlightSeatsCount</t>
  </si>
  <si>
    <t>ConfirmedLY.ConfirmedAdHocFlightSeatsCount</t>
  </si>
  <si>
    <t>ConfirmedLY.ConfirmedBookingTotalExcludingFO</t>
  </si>
  <si>
    <t>ConfirmedLY.ConfirmedRevenueTotalExcludingFO</t>
  </si>
  <si>
    <t>ConfirmedLY.ConfirmedBookingSalesCentreExcludingFO</t>
  </si>
  <si>
    <t>ConfirmedLY.ConfirmedBookingWebsiteExcludingFO</t>
  </si>
  <si>
    <t>ConfirmedLY.ConfirmedRevenueSalesCentreExcludingFO</t>
  </si>
  <si>
    <t>ConfirmedLY.ConfirmedRevenueWebsiteExcludingFO</t>
  </si>
  <si>
    <t>ConfirmedLY.ConfirmedBookingPastClientExcludingFO</t>
  </si>
  <si>
    <t>ConfirmedLY.ConfirmedBookingNewClientExcludingFO</t>
  </si>
  <si>
    <t>ConfirmedLY.ConfirmedBookingUKAgent</t>
  </si>
  <si>
    <t>ConfirmedLY.ConfirmedBookingOverseasAgent</t>
  </si>
  <si>
    <t>ConfirmedLY.ConfirmedBookingPreschoolSegmentExcludingFO</t>
  </si>
  <si>
    <t>ConfirmedLY.ConfirmedBookingYoungFamilySegmentExcludingFO</t>
  </si>
  <si>
    <t>ConfirmedLY.ConfirmedBookingOlderFamilySegmentExcludingFO</t>
  </si>
  <si>
    <t>ConfirmedLY.ConfirmedBookingYoungCoupleSegmentExcludingFO</t>
  </si>
  <si>
    <t>ConfirmedLY.ConfirmedBookingOlderCoupleSegmentExcludingFO</t>
  </si>
  <si>
    <t>ConfirmedLY.ConfirmedBookingAdultGroupSegmentExcludingFO</t>
  </si>
  <si>
    <t>ConfirmedLY.ConfirmedBookingOtherSegmentExcludingFO</t>
  </si>
  <si>
    <t>ConfirmedLY.ConfirmedBookingGreeceExcludingFO</t>
  </si>
  <si>
    <t>ConfirmedLY.ConfirmedBookingMallorcaExcludingFO</t>
  </si>
  <si>
    <t>ConfirmedLY.ConfirmedBookingItalyExcludingFO</t>
  </si>
  <si>
    <t>ConfirmedLY.ConfirmedBookingCorsicaExcludingFO</t>
  </si>
  <si>
    <t>ConfirmedLY.ConfirmedBookingTurkeyExcludingFO</t>
  </si>
  <si>
    <t>ConfirmedLY.ConfirmedBookingFranceExcludingAquitaineExcludingFO</t>
  </si>
  <si>
    <t>ConfirmedLY.ConfirmedBookingFranceExcludingFO</t>
  </si>
  <si>
    <t>ConfirmedLY.ConfirmedBookingMayDepartureExcludingFO</t>
  </si>
  <si>
    <t>ConfirmedLY.ConfirmedBookingJuneDepartureExcludingFO</t>
  </si>
  <si>
    <t>ConfirmedLY.ConfirmedBookingJulyDepartureExcludingFO</t>
  </si>
  <si>
    <t>ConfirmedLY.ConfirmedBookingAugustDepartureExcludingFO</t>
  </si>
  <si>
    <t>ConfirmedLY.ConfirmedBookingSeptemberDepartureExcludingFO</t>
  </si>
  <si>
    <t>ConfirmedLY.ConfirmedBookingOctoberDepartureExcludingFO</t>
  </si>
  <si>
    <t>ConfirmedLY.ConfirmedRevenuePastClientExcludingFO</t>
  </si>
  <si>
    <t>ConfirmedLY.ConfirmedRevenueNewClientExcludingFO</t>
  </si>
  <si>
    <t>ConfirmedLY.ConfirmedRevenueUKAgent</t>
  </si>
  <si>
    <t>ConfirmedLY.ConfirmedRevenueOverseasAgent</t>
  </si>
  <si>
    <t>ConfirmedLY.ConfirmedRevenuePreschoolSegmentExcludingFO</t>
  </si>
  <si>
    <t>ConfirmedLY.ConfirmedRevenueYoungFamilySegmentExcludingFO</t>
  </si>
  <si>
    <t>ConfirmedLY.ConfirmedRevenueOlderFamilySegmentExcludingFO</t>
  </si>
  <si>
    <t>ConfirmedLY.ConfirmedRevenueYoungCoupleSegmentExcludingFO</t>
  </si>
  <si>
    <t>ConfirmedLY.ConfirmedRevenueOlderCoupleSegmentExcludingFO</t>
  </si>
  <si>
    <t>ConfirmedLY.ConfirmedRevenueAdultGroupSegmentExcludingFO</t>
  </si>
  <si>
    <t>ConfirmedLY.ConfirmedRevenueOtherSegmentExcludingFO</t>
  </si>
  <si>
    <t>ConfirmedLY.ConfirmedRevenueGreeceExcludingFO</t>
  </si>
  <si>
    <t>ConfirmedLY.ConfirmedRevenueMallorcaExcludingFO</t>
  </si>
  <si>
    <t>ConfirmedLY.ConfirmedRevenueItalyExcludingFO</t>
  </si>
  <si>
    <t>ConfirmedLY.ConfirmedRevenueCorsicaExcludingFO</t>
  </si>
  <si>
    <t>ConfirmedLY.ConfirmedRevenueTurkeyExcludingFO</t>
  </si>
  <si>
    <t>ConfirmedLY.ConfirmedRevenueFranceExcludingAquitaineExcludingFO</t>
  </si>
  <si>
    <t>ConfirmedLY.ConfirmedRevenueFranceExcludingFO</t>
  </si>
  <si>
    <t>ConfirmedLY.ConfirmedRevenueMayDepartureExcludingFO</t>
  </si>
  <si>
    <t>ConfirmedLY.ConfirmedRevenueJuneDepartureExcludingFO</t>
  </si>
  <si>
    <t>ConfirmedLY.ConfirmedRevenueJulyDepartureExcludingFO</t>
  </si>
  <si>
    <t>ConfirmedLY.ConfirmedRevenueAugustDepartureExcludingFO</t>
  </si>
  <si>
    <t>ConfirmedLY.ConfirmedRevenueSeptemberDepartureExcludingFO</t>
  </si>
  <si>
    <t>ConfirmedLY.ConfirmedRevenueOctoberDepartureExcludingFO</t>
  </si>
  <si>
    <t>ConfirmedLY.ConfirmedBookingTotalDepartureYear</t>
  </si>
  <si>
    <t>ConfirmedLY.ConfirmedRevenueTotalDepartureYear</t>
  </si>
  <si>
    <t>ConfirmedLY.ConfirmedPAXCountDepartureYear</t>
  </si>
  <si>
    <t>ConfirmedLY.ConfirmedCommittedFlightSeatsCountDepartureYear</t>
  </si>
  <si>
    <t>ConfirmedLY.ConfirmedAdHocFlightSeatsCountDepartureYear</t>
  </si>
  <si>
    <t>ConfirmedLY.ConfirmedBookingTotalExcludingFODepartureYear</t>
  </si>
  <si>
    <t>ConfirmedLY.ConfirmedRevenueTotalExcludingFODepartureYear</t>
  </si>
  <si>
    <t>ConfirmedLY.ConfirmedBookingSalesCentreExcludingFODepartureYear</t>
  </si>
  <si>
    <t>ConfirmedLY.ConfirmedBookingWebsiteExcludingFODepartureYear</t>
  </si>
  <si>
    <t>ConfirmedLY.ConfirmedRevenueSalesCentreExcludingFODepartureYear</t>
  </si>
  <si>
    <t>ConfirmedLY.ConfirmedRevenueWebsiteExcludingFODepartureYear</t>
  </si>
  <si>
    <t>ConfirmedLY.ConfirmedBookingPastClientExcludingFODepartureYear</t>
  </si>
  <si>
    <t>ConfirmedLY.ConfirmedBookingNewClientExcludingFODepartureYear</t>
  </si>
  <si>
    <t>ConfirmedLY.ConfirmedBookingUKAgentDepartureYear</t>
  </si>
  <si>
    <t>ConfirmedLY.ConfirmedBookingOverseasAgentDepartureYear</t>
  </si>
  <si>
    <t>ConfirmedLY.ConfirmedBookingPreschoolSegmentExcludingFODepartureYear</t>
  </si>
  <si>
    <t>ConfirmedLY.ConfirmedBookingYoungFamilySegmentExcludingFODepartureYear</t>
  </si>
  <si>
    <t>ConfirmedLY.ConfirmedBookingOlderFamilySegmentExcludingFODepartureYear</t>
  </si>
  <si>
    <t>ConfirmedLY.ConfirmedBookingYoungCoupleSegmentExcludingFODepartureYear</t>
  </si>
  <si>
    <t>ConfirmedLY.ConfirmedBookingOlderCoupleSegmentExcludingFODepartureYear</t>
  </si>
  <si>
    <t>ConfirmedLY.ConfirmedBookingAdultGroupSegmentExcludingFODepartureYear</t>
  </si>
  <si>
    <t>ConfirmedLY.ConfirmedBookingOtherSegmentExcludingFODepartureYear</t>
  </si>
  <si>
    <t>ConfirmedLY.ConfirmedBookingGreeceExcludingFODepartureYear</t>
  </si>
  <si>
    <t>ConfirmedLY.ConfirmedBookingMallorcaExcludingFODepartureYear</t>
  </si>
  <si>
    <t>ConfirmedLY.ConfirmedBookingItalyExcludingFODepartureYear</t>
  </si>
  <si>
    <t>ConfirmedLY.ConfirmedBookingCorsicaExcludingFODepartureYear</t>
  </si>
  <si>
    <t>ConfirmedLY.ConfirmedBookingTurkeyExcludingFODepartureYear</t>
  </si>
  <si>
    <t>ConfirmedLY.ConfirmedBookingFranceExcludingAquitaineExcludingFODepartureYear</t>
  </si>
  <si>
    <t>ConfirmedLY.ConfirmedBookingFranceExcludingFODepartureYear</t>
  </si>
  <si>
    <t>ConfirmedLY.ConfirmedBookingMayDepartureExcludingFODepartureYear</t>
  </si>
  <si>
    <t>ConfirmedLY.ConfirmedBookingJuneDepartureExcludingFODepartureYear</t>
  </si>
  <si>
    <t>ConfirmedLY.ConfirmedBookingJulyDepartureExcludingFODepartureYear</t>
  </si>
  <si>
    <t>ConfirmedLY.ConfirmedBookingAugustDepartureExcludingFODepartureYear</t>
  </si>
  <si>
    <t>ConfirmedLY.ConfirmedBookingSeptemberDepartureExcludingFODepartureYear</t>
  </si>
  <si>
    <t>ConfirmedLY.ConfirmedBookingOctoberDepartureExcludingFODepartureYear</t>
  </si>
  <si>
    <t>ConfirmedLY.ConfirmedRevenuePastClientExcludingFODepartureYear</t>
  </si>
  <si>
    <t>ConfirmedLY.ConfirmedRevenueNewClientExcludingFODepartureYear</t>
  </si>
  <si>
    <t>ConfirmedLY.ConfirmedRevenueUKAgentDepartureYear</t>
  </si>
  <si>
    <t>ConfirmedLY.ConfirmedRevenueOverseasAgentDepartureYear</t>
  </si>
  <si>
    <t>ConfirmedLY.ConfirmedRevenuePreschoolSegmentExcludingFODepartureYear</t>
  </si>
  <si>
    <t>ConfirmedLY.ConfirmedRevenueYoungFamilySegmentExcludingFODepartureYear</t>
  </si>
  <si>
    <t>ConfirmedLY.ConfirmedRevenueOlderFamilySegmentExcludingFODepartureYear</t>
  </si>
  <si>
    <t>ConfirmedLY.ConfirmedRevenueYoungCoupleSegmentExcludingFODepartureYear</t>
  </si>
  <si>
    <t>ConfirmedLY.ConfirmedRevenueOlderCoupleSegmentExcludingFODepartureYear</t>
  </si>
  <si>
    <t>ConfirmedLY.ConfirmedRevenueAdultGroupSegmentExcludingFODepartureYear</t>
  </si>
  <si>
    <t>ConfirmedLY.ConfirmedRevenueOtherSegmentExcludingFODepartureYear</t>
  </si>
  <si>
    <t>ConfirmedLY.ConfirmedRevenueGreeceExcludingFODepartureYear</t>
  </si>
  <si>
    <t>ConfirmedLY.ConfirmedRevenueMallorcaExcludingFODepartureYear</t>
  </si>
  <si>
    <t>ConfirmedLY.ConfirmedRevenueItalyExcludingFODepartureYear</t>
  </si>
  <si>
    <t>ConfirmedLY.ConfirmedRevenueCorsicaExcludingFODepartureYear</t>
  </si>
  <si>
    <t>ConfirmedLY.ConfirmedRevenueTurkeyExcludingFODepartureYear</t>
  </si>
  <si>
    <t>ConfirmedLY.ConfirmedRevenueFranceExcludingAquitaineExcludingFODepartureYear</t>
  </si>
  <si>
    <t>ConfirmedLY.ConfirmedRevenueFranceExcludingFODepartureYear</t>
  </si>
  <si>
    <t>ConfirmedLY.ConfirmedRevenueMayDepartureExcludingFODepartureYear</t>
  </si>
  <si>
    <t>ConfirmedLY.ConfirmedRevenueJuneDepartureExcludingFODepartureYear</t>
  </si>
  <si>
    <t>ConfirmedLY.ConfirmedRevenueJulyDepartureExcludingFODepartureYear</t>
  </si>
  <si>
    <t>ConfirmedLY.ConfirmedRevenueAugustDepartureExcludingFODepartureYear</t>
  </si>
  <si>
    <t>ConfirmedLY.ConfirmedRevenueSeptemberDepartureExcludingFODepartureYear</t>
  </si>
  <si>
    <t>ConfirmedLY.ConfirmedRevenueOctoberDepartureExcludingFODepartureYear</t>
  </si>
  <si>
    <t>QuotedTW.QuotedBooking</t>
  </si>
  <si>
    <t>QuotedTW.EnquiryBookingSalesCentre</t>
  </si>
  <si>
    <t>QuotedTW.QuotedBookingDepartureYear</t>
  </si>
  <si>
    <t>QuotedTW.EnquiryBookingSalesCentreDepartureYear</t>
  </si>
  <si>
    <t>QuotedLW.QuotedBooking</t>
  </si>
  <si>
    <t>QuotedLW.EnquiryBookingSalesCentre</t>
  </si>
  <si>
    <t>QuotedLW.QuotedBookingDepartureYear</t>
  </si>
  <si>
    <t>QuotedLW.EnquiryBookingSalesCentreDepartureYear</t>
  </si>
  <si>
    <t>QuotedTWLY.QuotedBooking</t>
  </si>
  <si>
    <t>QuotedTWLY.EnquiryBookingSalesCentre</t>
  </si>
  <si>
    <t>QuotedTWLY.QuotedBookingDepartureYear</t>
  </si>
  <si>
    <t>QuotedTWLY.EnquiryBookingSalesCentreDepartureYear</t>
  </si>
  <si>
    <t>QuotedTM.QuotedBooking</t>
  </si>
  <si>
    <t>QuotedTM.EnquiryBookingSalesCentre</t>
  </si>
  <si>
    <t>QuotedTM.QuotedBookingDepartureYear</t>
  </si>
  <si>
    <t>QuotedTM.EnquiryBookingSalesCentreDepartureYear</t>
  </si>
  <si>
    <t>QuotedTMLY.QuotedBooking</t>
  </si>
  <si>
    <t>QuotedTMLY.EnquiryBookingSalesCentre</t>
  </si>
  <si>
    <t>QuotedTMLY.QuotedBookingDepartureYear</t>
  </si>
  <si>
    <t>QuotedTMLY.EnquiryBookingSalesCentreDepartureYear</t>
  </si>
  <si>
    <t>QuotedTY.QuotedBooking</t>
  </si>
  <si>
    <t>QuotedTY.EnquiryBookingSalesCentre</t>
  </si>
  <si>
    <t>QuotedTY.QuotedBookingDepartureYear</t>
  </si>
  <si>
    <t>QuotedTY.EnquiryBookingSalesCentreDepartureYear</t>
  </si>
  <si>
    <t>QuotedLY.QuotedBooking</t>
  </si>
  <si>
    <t>QuotedLY.EnquiryBookingSalesCentre</t>
  </si>
  <si>
    <t>QuotedLY.QuotedBookingDepartureYear</t>
  </si>
  <si>
    <t>QuotedLY.EnquiryBookingSalesCentreDepartureYear</t>
  </si>
  <si>
    <t>OptionedTW.OptionedBooking</t>
  </si>
  <si>
    <t>OptionedTW.LiveOptionBooking</t>
  </si>
  <si>
    <t>OptionedTW.LiveOptionRevenue</t>
  </si>
  <si>
    <t>OptionedTW.OptionedBookingDepartureYear</t>
  </si>
  <si>
    <t>OptionedTW.LiveOptionBookingDepartureYear</t>
  </si>
  <si>
    <t>OptionedTW.LiveOptionRevenueDepartureYear</t>
  </si>
  <si>
    <t>OptionedLW.OptionedBooking</t>
  </si>
  <si>
    <t>OptionedLW.LiveOptionBooking</t>
  </si>
  <si>
    <t>OptionedLW.LiveOptionRevenue</t>
  </si>
  <si>
    <t>OptionedLW.OptionedBookingDepartureYear</t>
  </si>
  <si>
    <t>OptionedLW.LiveOptionBookingDepartureYear</t>
  </si>
  <si>
    <t>OptionedLW.LiveOptionRevenueDepartureYear</t>
  </si>
  <si>
    <t>OptionedTWLY.OptionedBooking</t>
  </si>
  <si>
    <t>OptionedTWLY.LiveOptionBooking</t>
  </si>
  <si>
    <t>OptionedTWLY.LiveOptionRevenue</t>
  </si>
  <si>
    <t>OptionedTWLY.OptionedBookingDepartureYear</t>
  </si>
  <si>
    <t>OptionedTWLY.LiveOptionBookingDepartureYear</t>
  </si>
  <si>
    <t>OptionedTWLY.LiveOptionRevenueDepartureYear</t>
  </si>
  <si>
    <t>OptionedTM.OptionedBooking</t>
  </si>
  <si>
    <t>OptionedTM.LiveOptionBooking</t>
  </si>
  <si>
    <t>OptionedTM.LiveOptionRevenue</t>
  </si>
  <si>
    <t>OptionedTM.OptionedBookingDepartureYear</t>
  </si>
  <si>
    <t>OptionedTM.LiveOptionBookingDepartureYear</t>
  </si>
  <si>
    <t>OptionedTM.LiveOptionRevenueDepartureYear</t>
  </si>
  <si>
    <t>OptionedTMLY.OptionedBooking</t>
  </si>
  <si>
    <t>OptionedTMLY.LiveOptionBooking</t>
  </si>
  <si>
    <t>OptionedTMLY.LiveOptionRevenue</t>
  </si>
  <si>
    <t>OptionedTMLY.OptionedBookingDepartureYear</t>
  </si>
  <si>
    <t>OptionedTMLY.LiveOptionBookingDepartureYear</t>
  </si>
  <si>
    <t>OptionedTMLY.LiveOptionRevenueDepartureYear</t>
  </si>
  <si>
    <t>OptionedTY.OptionedBooking</t>
  </si>
  <si>
    <t>OptionedTY.LiveOptionBooking</t>
  </si>
  <si>
    <t>OptionedTY.LiveOptionRevenue</t>
  </si>
  <si>
    <t>OptionedTY.OptionedBookingDepartureYear</t>
  </si>
  <si>
    <t>OptionedTY.LiveOptionBookingDepartureYear</t>
  </si>
  <si>
    <t>OptionedTY.LiveOptionRevenueDepartureYear</t>
  </si>
  <si>
    <t>OptionedLY.OptionedBooking</t>
  </si>
  <si>
    <t>OptionedLY.LiveOptionBooking</t>
  </si>
  <si>
    <t>OptionedLY.LiveOptionRevenue</t>
  </si>
  <si>
    <t>OptionedLY.OptionedBookingDepartureYear</t>
  </si>
  <si>
    <t>OptionedLY.LiveOptionBookingDepartureYear</t>
  </si>
  <si>
    <t>OptionedLY.LiveOptionRevenueDepartureYear</t>
  </si>
  <si>
    <t>MCF.TW.GoalConversionsTotal</t>
  </si>
  <si>
    <t>MCF.TW.GoalConversionsDirect</t>
  </si>
  <si>
    <t>MCF.TW.GoalConversionsOrganicSearch</t>
  </si>
  <si>
    <t>MCF.TW.GoalConversionsSocial</t>
  </si>
  <si>
    <t>MCF.TW.GoalConversionsEmail</t>
  </si>
  <si>
    <t>MCF.TW.GoalConversionsAffiliates</t>
  </si>
  <si>
    <t>MCF.TW.GoalConversionsReferral</t>
  </si>
  <si>
    <t>MCF.TW.GoalConversionsPaidSearch</t>
  </si>
  <si>
    <t>MCF.TW.GoalConversionsOther</t>
  </si>
  <si>
    <t>MCF.TW.GoalConversionsDisplay</t>
  </si>
  <si>
    <t>MCF.TW.PhoneCallsTotal</t>
  </si>
  <si>
    <t>MCF.TW.PhoneCallsDirect</t>
  </si>
  <si>
    <t>MCF.TW.PhoneCallsOrganicSearch</t>
  </si>
  <si>
    <t>MCF.TW.PhoneCallsSocial</t>
  </si>
  <si>
    <t>MCF.TW.PhoneCallsEmail</t>
  </si>
  <si>
    <t>MCF.TW.PhoneCallsAffiliates</t>
  </si>
  <si>
    <t>MCF.TW.PhoneCallsReferral</t>
  </si>
  <si>
    <t>MCF.TW.PhoneCallsPaidSearch</t>
  </si>
  <si>
    <t>MCF.TW.PhoneCallsOther</t>
  </si>
  <si>
    <t>MCF.TW.PhoneCallsDisplay</t>
  </si>
  <si>
    <t>MCF.LW.GoalConversionsTotal</t>
  </si>
  <si>
    <t>MCF.LW.GoalConversionsDirect</t>
  </si>
  <si>
    <t>MCF.LW.GoalConversionsOrganicSearch</t>
  </si>
  <si>
    <t>MCF.LW.GoalConversionsSocial</t>
  </si>
  <si>
    <t>MCF.LW.GoalConversionsEmail</t>
  </si>
  <si>
    <t>MCF.LW.GoalConversionsAffiliates</t>
  </si>
  <si>
    <t>MCF.LW.GoalConversionsReferral</t>
  </si>
  <si>
    <t>MCF.LW.GoalConversionsPaidSearch</t>
  </si>
  <si>
    <t>MCF.LW.GoalConversionsOther</t>
  </si>
  <si>
    <t>MCF.LW.GoalConversionsDisplay</t>
  </si>
  <si>
    <t>MCF.LW.PhoneCallsTotal</t>
  </si>
  <si>
    <t>MCF.LW.PhoneCallsDirect</t>
  </si>
  <si>
    <t>MCF.LW.PhoneCallsOrganicSearch</t>
  </si>
  <si>
    <t>MCF.LW.PhoneCallsSocial</t>
  </si>
  <si>
    <t>MCF.LW.PhoneCallsEmail</t>
  </si>
  <si>
    <t>MCF.LW.PhoneCallsAffiliates</t>
  </si>
  <si>
    <t>MCF.LW.PhoneCallsReferral</t>
  </si>
  <si>
    <t>MCF.LW.PhoneCallsPaidSearch</t>
  </si>
  <si>
    <t>MCF.LW.PhoneCallsOther</t>
  </si>
  <si>
    <t>MCF.LW.PhoneCallsDisplay</t>
  </si>
  <si>
    <t>MCF.TWLY.GoalConversionsTotal</t>
  </si>
  <si>
    <t>MCF.TWLY.GoalConversionsDirect</t>
  </si>
  <si>
    <t>MCF.TWLY.GoalConversionsOrganicSearch</t>
  </si>
  <si>
    <t>MCF.TWLY.GoalConversionsSocial</t>
  </si>
  <si>
    <t>MCF.TWLY.GoalConversionsEmail</t>
  </si>
  <si>
    <t>MCF.TWLY.GoalConversionsAffiliates</t>
  </si>
  <si>
    <t>MCF.TWLY.GoalConversionsReferral</t>
  </si>
  <si>
    <t>MCF.TWLY.GoalConversionsPaidSearch</t>
  </si>
  <si>
    <t>MCF.TWLY.GoalConversionsOther</t>
  </si>
  <si>
    <t>MCF.TWLY.GoalConversionsDisplay</t>
  </si>
  <si>
    <t>MCF.TWLY.PhoneCallsTotal</t>
  </si>
  <si>
    <t>MCF.TWLY.PhoneCallsDirect</t>
  </si>
  <si>
    <t>MCF.TWLY.PhoneCallsOrganicSearch</t>
  </si>
  <si>
    <t>MCF.TWLY.PhoneCallsSocial</t>
  </si>
  <si>
    <t>MCF.TWLY.PhoneCallsEmail</t>
  </si>
  <si>
    <t>MCF.TWLY.PhoneCallsAffiliates</t>
  </si>
  <si>
    <t>MCF.TWLY.PhoneCallsReferral</t>
  </si>
  <si>
    <t>MCF.TWLY.PhoneCallsPaidSearch</t>
  </si>
  <si>
    <t>MCF.TWLY.PhoneCallsOther</t>
  </si>
  <si>
    <t>MCF.TWLY.PhoneCallsDisplay</t>
  </si>
  <si>
    <t>MCF.TM.GoalConversionsTotal</t>
  </si>
  <si>
    <t>MCF.TM.GoalConversionsDirect</t>
  </si>
  <si>
    <t>MCF.TM.GoalConversionsOrganicSearch</t>
  </si>
  <si>
    <t>MCF.TM.GoalConversionsSocial</t>
  </si>
  <si>
    <t>MCF.TM.GoalConversionsEmail</t>
  </si>
  <si>
    <t>MCF.TM.GoalConversionsAffiliates</t>
  </si>
  <si>
    <t>MCF.TM.GoalConversionsReferral</t>
  </si>
  <si>
    <t>MCF.TM.GoalConversionsPaidSearch</t>
  </si>
  <si>
    <t>MCF.TM.GoalConversionsOther</t>
  </si>
  <si>
    <t>MCF.TM.GoalConversionsDisplay</t>
  </si>
  <si>
    <t>MCF.TM.PhoneCallsTotal</t>
  </si>
  <si>
    <t>MCF.TM.PhoneCallsDirect</t>
  </si>
  <si>
    <t>MCF.TM.PhoneCallsOrganicSearch</t>
  </si>
  <si>
    <t>MCF.TM.PhoneCallsSocial</t>
  </si>
  <si>
    <t>MCF.TM.PhoneCallsEmail</t>
  </si>
  <si>
    <t>MCF.TM.PhoneCallsAffiliates</t>
  </si>
  <si>
    <t>MCF.TM.PhoneCallsReferral</t>
  </si>
  <si>
    <t>MCF.TM.PhoneCallsPaidSearch</t>
  </si>
  <si>
    <t>MCF.TM.PhoneCallsOther</t>
  </si>
  <si>
    <t>MCF.TM.PhoneCallsDisplay</t>
  </si>
  <si>
    <t>MCF.TMLY.GoalConversionsTotal</t>
  </si>
  <si>
    <t>MCF.TMLY.GoalConversionsDirect</t>
  </si>
  <si>
    <t>MCF.TMLY.GoalConversionsOrganicSearch</t>
  </si>
  <si>
    <t>MCF.TMLY.GoalConversionsSocial</t>
  </si>
  <si>
    <t>MCF.TMLY.GoalConversionsEmail</t>
  </si>
  <si>
    <t>MCF.TMLY.GoalConversionsAffiliates</t>
  </si>
  <si>
    <t>MCF.TMLY.GoalConversionsReferral</t>
  </si>
  <si>
    <t>MCF.TMLY.GoalConversionsPaidSearch</t>
  </si>
  <si>
    <t>MCF.TMLY.GoalConversionsOther</t>
  </si>
  <si>
    <t>MCF.TMLY.GoalConversionsDisplay</t>
  </si>
  <si>
    <t>MCF.TMLY.PhoneCallsTotal</t>
  </si>
  <si>
    <t>MCF.TMLY.PhoneCallsDirect</t>
  </si>
  <si>
    <t>MCF.TMLY.PhoneCallsOrganicSearch</t>
  </si>
  <si>
    <t>MCF.TMLY.PhoneCallsSocial</t>
  </si>
  <si>
    <t>MCF.TMLY.PhoneCallsEmail</t>
  </si>
  <si>
    <t>MCF.TMLY.PhoneCallsAffiliates</t>
  </si>
  <si>
    <t>MCF.TMLY.PhoneCallsReferral</t>
  </si>
  <si>
    <t>MCF.TMLY.PhoneCallsPaidSearch</t>
  </si>
  <si>
    <t>MCF.TMLY.PhoneCallsOther</t>
  </si>
  <si>
    <t>MCF.TMLY.PhoneCallsDisplay</t>
  </si>
  <si>
    <t>MCF.FY.GoalConversionsTotal</t>
  </si>
  <si>
    <t>MCF.FY.GoalConversionsDirect</t>
  </si>
  <si>
    <t>MCF.FY.GoalConversionsOrganicSearch</t>
  </si>
  <si>
    <t>MCF.FY.GoalConversionsSocial</t>
  </si>
  <si>
    <t>MCF.FY.GoalConversionsEmail</t>
  </si>
  <si>
    <t>MCF.FY.GoalConversionsAffiliates</t>
  </si>
  <si>
    <t>MCF.FY.GoalConversionsReferral</t>
  </si>
  <si>
    <t>MCF.FY.GoalConversionsPaidSearch</t>
  </si>
  <si>
    <t>MCF.FY.GoalConversionsOther</t>
  </si>
  <si>
    <t>MCF.FY.GoalConversionsDisplay</t>
  </si>
  <si>
    <t>MCF.FY.PhoneCallsTotal</t>
  </si>
  <si>
    <t>MCF.FY.PhoneCallsDirect</t>
  </si>
  <si>
    <t>MCF.FY.PhoneCallsOrganicSearch</t>
  </si>
  <si>
    <t>MCF.FY.PhoneCallsSocial</t>
  </si>
  <si>
    <t>MCF.FY.PhoneCallsEmail</t>
  </si>
  <si>
    <t>MCF.FY.PhoneCallsAffiliates</t>
  </si>
  <si>
    <t>MCF.FY.PhoneCallsReferral</t>
  </si>
  <si>
    <t>MCF.FY.PhoneCallsPaidSearch</t>
  </si>
  <si>
    <t>MCF.FY.PhoneCallsOther</t>
  </si>
  <si>
    <t>MCF.FY.PhoneCallsDisplay</t>
  </si>
  <si>
    <t>MCF.FYLY.GoalConversionsTotal</t>
  </si>
  <si>
    <t>MCF.FYLY.GoalConversionsDirect</t>
  </si>
  <si>
    <t>MCF.FYLY.GoalConversionsOrganicSearch</t>
  </si>
  <si>
    <t>MCF.FYLY.GoalConversionsSocial</t>
  </si>
  <si>
    <t>MCF.FYLY.GoalConversionsEmail</t>
  </si>
  <si>
    <t>MCF.FYLY.GoalConversionsAffiliates</t>
  </si>
  <si>
    <t>MCF.FYLY.GoalConversionsReferral</t>
  </si>
  <si>
    <t>MCF.FYLY.GoalConversionsPaidSearch</t>
  </si>
  <si>
    <t>MCF.FYLY.GoalConversionsOther</t>
  </si>
  <si>
    <t>MCF.FYLY.GoalConversionsDisplay</t>
  </si>
  <si>
    <t>MCF.FYLY.PhoneCallsTotal</t>
  </si>
  <si>
    <t>MCF.FYLY.PhoneCallsDirect</t>
  </si>
  <si>
    <t>MCF.FYLY.PhoneCallsOrganicSearch</t>
  </si>
  <si>
    <t>MCF.FYLY.PhoneCallsSocial</t>
  </si>
  <si>
    <t>MCF.FYLY.PhoneCallsEmail</t>
  </si>
  <si>
    <t>MCF.FYLY.PhoneCallsAffiliates</t>
  </si>
  <si>
    <t>MCF.FYLY.PhoneCallsReferral</t>
  </si>
  <si>
    <t>MCF.FYLY.PhoneCallsPaidSearch</t>
  </si>
  <si>
    <t>MCF.FYLY.PhoneCallsOther</t>
  </si>
  <si>
    <t>MCF.FYLY.PhoneCallsDisplay</t>
  </si>
  <si>
    <t>GA.TW.PaidUsers</t>
  </si>
  <si>
    <t>GA.TW.OrganicUsers</t>
  </si>
  <si>
    <t>GA.TW.EmailUsers</t>
  </si>
  <si>
    <t>GA.TW.PPCCost</t>
  </si>
  <si>
    <t>GA.LW.PaidUsers</t>
  </si>
  <si>
    <t>GA.LW.OrganicUsers</t>
  </si>
  <si>
    <t>GA.LW.EmailUsers</t>
  </si>
  <si>
    <t>GA.LW.PPCCost</t>
  </si>
  <si>
    <t>GA.TWLY.PaidUsers</t>
  </si>
  <si>
    <t>GA.TWLY.OrganicUsers</t>
  </si>
  <si>
    <t>GA.TWLY.EmailUsers</t>
  </si>
  <si>
    <t>GA.TWLY.PPCCost</t>
  </si>
  <si>
    <t>GA.TM.PaidUsers</t>
  </si>
  <si>
    <t>GA.TM.OrganicUsers</t>
  </si>
  <si>
    <t>GA.TM.EmailUsers</t>
  </si>
  <si>
    <t>GA.TM.PPCCost</t>
  </si>
  <si>
    <t>GA.TMLY.PaidUsers</t>
  </si>
  <si>
    <t>GA.TMLY.OrganicUsers</t>
  </si>
  <si>
    <t>GA.TMLY.EmailUsers</t>
  </si>
  <si>
    <t>GA.TMLY.PPCCost</t>
  </si>
  <si>
    <t>GA.FY.PaidUsers</t>
  </si>
  <si>
    <t>GA.FY.OrganicUsers</t>
  </si>
  <si>
    <t>GA.FY.EmailUsers</t>
  </si>
  <si>
    <t>GA.FY.PPCCost</t>
  </si>
  <si>
    <t>GA.FYLY.PaidUsers</t>
  </si>
  <si>
    <t>GA.FYLY.OrganicUsers</t>
  </si>
  <si>
    <t>GA.FYLY.EmailUsers</t>
  </si>
  <si>
    <t>GA.FYLY.PPCCost</t>
  </si>
  <si>
    <t>GA.TW.AllUsers</t>
  </si>
  <si>
    <t>GA.LW.AllUsers</t>
  </si>
  <si>
    <t>GA.TWLY.AllUsers</t>
  </si>
  <si>
    <t>GA.TM.AllUsers</t>
  </si>
  <si>
    <t>GA.TMLY.AllUsers</t>
  </si>
  <si>
    <t>GA.FY.AllUsers</t>
  </si>
  <si>
    <t>GA.FYLY.AllUsers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</si>
</sst>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,##0.00%"/>
    <numFmt numFmtId="165" formatCode="&quot;£&quot;#,##0"/>
    <numFmt numFmtId="166" formatCode="&quot;£&quot;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Alignment="1">
      <alignment horizontal="left" indent="2"/>
    </xf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left"/>
    </xf>
    <xf numFmtId="164" fontId="1" fillId="0" borderId="0" xfId="0" applyNumberFormat="1" applyFont="1" applyAlignment="1">
      <alignment horizontal="left"/>
    </xf>
    <xf numFmtId="164" fontId="4" fillId="0" borderId="0" xfId="0" applyNumberFormat="1" applyFont="1" applyAlignment="1">
      <alignment horizontal="left"/>
    </xf>
    <xf numFmtId="165" fontId="1" fillId="0" borderId="0" xfId="0" applyNumberFormat="1" applyFont="1" applyAlignment="1">
      <alignment horizontal="left"/>
    </xf>
    <xf numFmtId="3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5" fillId="2" borderId="0" xfId="0" applyFont="1" applyFill="1" applyAlignment="1">
      <alignment horizontal="left"/>
    </xf>
    <xf numFmtId="0" fontId="2" fillId="0" borderId="0" xfId="0" applyFont="1" applyAlignment="1">
      <alignment horizontal="left"/>
    </xf>
    <xf numFmtId="0" fontId="1" fillId="0" borderId="0" xfId="0" applyFont="1"/>
    <xf numFmtId="0" fontId="5" fillId="2" borderId="0" xfId="0" applyFont="1" applyFill="1"/>
    <xf numFmtId="0" fontId="0" fillId="0" borderId="0" xfId="0" applyAlignment="1">
      <alignment horizontal="left" indent="2"/>
    </xf>
    <xf numFmtId="0" fontId="0" fillId="0" borderId="0" xfId="0" applyAlignment="1">
      <alignment horizontal="left"/>
    </xf>
    <xf numFmtId="0" fontId="0" fillId="0" borderId="0" xfId="0" applyFont="1" applyFill="1" applyAlignment="1">
      <alignment horizontal="left"/>
    </xf>
    <xf numFmtId="0" fontId="0" fillId="0" borderId="0" xfId="0" applyFont="1" applyFill="1" applyAlignment="1">
      <alignment horizontal="left" indent="2"/>
    </xf>
    <xf numFmtId="165" fontId="0" fillId="0" borderId="0" xfId="0" applyNumberFormat="1" applyAlignment="1">
      <alignment horizontal="left"/>
    </xf>
    <xf numFmtId="164" fontId="6" fillId="0" borderId="0" xfId="0" applyNumberFormat="1" applyFont="1" applyAlignment="1">
      <alignment horizontal="left"/>
    </xf>
    <xf numFmtId="3" fontId="0" fillId="0" borderId="0" xfId="0" applyNumberFormat="1" applyFont="1" applyAlignment="1">
      <alignment horizontal="left"/>
    </xf>
    <xf numFmtId="166" fontId="0" fillId="0" borderId="0" xfId="0" applyNumberFormat="1" applyFont="1" applyAlignment="1">
      <alignment horizontal="left"/>
    </xf>
    <xf numFmtId="165" fontId="0" fillId="0" borderId="0" xfId="0" applyNumberFormat="1" applyFont="1" applyAlignment="1">
      <alignment horizontal="left"/>
    </xf>
    <xf numFmtId="3" fontId="0" fillId="0" borderId="0" xfId="0" applyNumberFormat="1" applyAlignment="1">
      <alignment horizontal="lef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P95"/>
  <sheetViews>
    <sheetView tabSelected="1" workbookViewId="0">
      <pane ySplit="2" topLeftCell="A3" activePane="bottomLeft" state="frozen"/>
      <selection pane="bottomLeft"/>
    </sheetView>
  </sheetViews>
  <sheetFormatPr defaultColWidth="8.85546875" defaultRowHeight="15" x14ac:dyDescent="0.25"/>
  <cols>
    <col min="1" max="1" width="46.85546875" customWidth="1"/>
    <col min="2" max="2" width="9.140625" style="15"/>
    <col min="3" max="13" width="13" style="15" customWidth="1"/>
    <col min="14" max="15" width="13.85546875" style="15" bestFit="1" customWidth="1"/>
    <col min="16" max="16" width="9.7109375" style="15" bestFit="1" customWidth="1"/>
  </cols>
  <sheetData>
    <row r="1" spans="1:16" ht="18.75" customHeight="1" x14ac:dyDescent="0.3">
      <c r="A1" s="3" t="str">
        <f>IF(Sheet2!A2&gt;0,CONCATENATE("Week beginning ",Sheet2!K2," ",Sheet2!H2," ",Sheet2!D2),"MASTER")</f>
        <v>Week beginning 12 August 2019</v>
      </c>
    </row>
    <row r="2" spans="1:16" x14ac:dyDescent="0.25">
      <c r="C2" s="4" t="s">
        <v>1</v>
      </c>
      <c r="D2" s="4" t="s">
        <v>2</v>
      </c>
      <c r="E2" s="6" t="s">
        <v>3</v>
      </c>
      <c r="F2" s="4" t="s">
        <v>4</v>
      </c>
      <c r="G2" s="6" t="s">
        <v>5</v>
      </c>
      <c r="H2" s="4" t="s">
        <v>6</v>
      </c>
      <c r="I2" s="4" t="s">
        <v>7</v>
      </c>
      <c r="J2" s="6" t="s">
        <v>8</v>
      </c>
      <c r="K2" s="4" t="s">
        <v>0</v>
      </c>
      <c r="L2" s="4" t="s">
        <v>9</v>
      </c>
      <c r="M2" s="6" t="s">
        <v>10</v>
      </c>
      <c r="N2" s="4" t="s">
        <v>89</v>
      </c>
      <c r="O2" s="4" t="s">
        <v>90</v>
      </c>
      <c r="P2" s="4" t="s">
        <v>10</v>
      </c>
    </row>
    <row r="3" spans="1:16" x14ac:dyDescent="0.25">
      <c r="A3" s="10" t="s">
        <v>91</v>
      </c>
      <c r="C3" s="4"/>
      <c r="D3" s="4"/>
      <c r="E3" s="6"/>
      <c r="F3" s="4"/>
      <c r="G3" s="6"/>
      <c r="H3" s="4"/>
      <c r="I3" s="4"/>
      <c r="J3" s="6"/>
      <c r="K3" s="4"/>
      <c r="L3" s="4"/>
      <c r="M3" s="6"/>
      <c r="N3" s="4"/>
      <c r="O3" s="4"/>
      <c r="P3" s="4"/>
    </row>
    <row r="4" spans="1:16" x14ac:dyDescent="0.25">
      <c r="A4" t="s">
        <v>92</v>
      </c>
      <c r="C4" s="20">
        <f>HLOOKUP("GA.TW.AllUsers",Sheet2!$1:$2,2,FALSE)</f>
        <v>27767</v>
      </c>
      <c r="D4" s="20">
        <f>HLOOKUP("GA.LW.AllUsers",Sheet2!$1:$2,2,FALSE)</f>
        <v>26141</v>
      </c>
      <c r="E4" s="19">
        <f t="shared" ref="E4:E12" si="0">IFERROR((C4-D4)/D4,0)</f>
        <v>6.2201139971691979E-2</v>
      </c>
      <c r="F4" s="20">
        <f>HLOOKUP("GA.TWLY.AllUsers",Sheet2!$1:$2,2,FALSE)</f>
        <v>20859</v>
      </c>
      <c r="G4" s="19">
        <f t="shared" ref="G4:G12" si="1">IFERROR((C4-F4)/F4,0)</f>
        <v>0.33117599117886765</v>
      </c>
      <c r="H4" s="20">
        <f>HLOOKUP("GA.TM.AllUsers",Sheet2!$1:$2,2,FALSE)</f>
        <v>62707</v>
      </c>
      <c r="I4" s="20">
        <f>HLOOKUP("GA.TMLY.AllUsers",Sheet2!$1:$2,2,FALSE)</f>
        <v>50953</v>
      </c>
      <c r="J4" s="19">
        <f t="shared" ref="J4:J12" si="2">IFERROR((H4-I4)/I4,0)</f>
        <v>0.2306831786155869</v>
      </c>
      <c r="K4" s="20">
        <f>HLOOKUP("GA.FY.AllUsers",Sheet2!$1:$2,2,FALSE)</f>
        <v>686126</v>
      </c>
      <c r="L4" s="20">
        <f>HLOOKUP("GA.FYLY.AllUsers",Sheet2!$1:$2,2,FALSE)</f>
        <v>657960</v>
      </c>
      <c r="M4" s="19">
        <f t="shared" ref="M4:M12" si="3">IFERROR((K4-L4)/L4,0)</f>
        <v>4.2808073439114837E-2</v>
      </c>
      <c r="N4" s="20">
        <f>HLOOKUP("GA.FY.AllUsers",Sheet2!$1:$2,2,FALSE)</f>
        <v>686126</v>
      </c>
      <c r="O4" s="20">
        <f>HLOOKUP("GA.FYLY.AllUsers",Sheet2!$1:$2,2,FALSE)</f>
        <v>657960</v>
      </c>
      <c r="P4" s="19">
        <f t="shared" ref="P4:P12" si="4">IFERROR((N4-O4)/O4,0)</f>
        <v>4.2808073439114837E-2</v>
      </c>
    </row>
    <row r="5" spans="1:16" x14ac:dyDescent="0.25">
      <c r="A5" s="14" t="s">
        <v>93</v>
      </c>
      <c r="C5" s="20">
        <f>HLOOKUP("GA.TW.PaidUsers",Sheet2!$1:$2,2,FALSE)</f>
        <v>10826</v>
      </c>
      <c r="D5" s="20">
        <f>HLOOKUP("GA.LW.PaidUsers",Sheet2!$1:$2,2,FALSE)</f>
        <v>13366</v>
      </c>
      <c r="E5" s="19">
        <f t="shared" si="0"/>
        <v>-0.19003441568158014</v>
      </c>
      <c r="F5" s="20">
        <f>HLOOKUP("GA.TWLY.PaidUsers",Sheet2!$1:$2,2,FALSE)</f>
        <v>9566</v>
      </c>
      <c r="G5" s="19">
        <f t="shared" si="1"/>
        <v>0.13171649592306084</v>
      </c>
      <c r="H5" s="20">
        <f>HLOOKUP("GA.TM.PaidUsers",Sheet2!$1:$2,2,FALSE)</f>
        <v>29615</v>
      </c>
      <c r="I5" s="20">
        <f>HLOOKUP("GA.TMLY.PaidUsers",Sheet2!$1:$2,2,FALSE)</f>
        <v>25132</v>
      </c>
      <c r="J5" s="19">
        <f t="shared" si="2"/>
        <v>0.17837816329778769</v>
      </c>
      <c r="K5" s="20">
        <f>HLOOKUP("GA.FY.PaidUsers",Sheet2!$1:$2,2,FALSE)</f>
        <v>354214</v>
      </c>
      <c r="L5" s="20">
        <f>HLOOKUP("GA.FYLY.PaidUsers",Sheet2!$1:$2,2,FALSE)</f>
        <v>377570</v>
      </c>
      <c r="M5" s="19">
        <f t="shared" si="3"/>
        <v>-6.1858728182853512E-2</v>
      </c>
      <c r="N5" s="20">
        <f>HLOOKUP("GA.FY.PaidUsers",Sheet2!$1:$2,2,FALSE)</f>
        <v>354214</v>
      </c>
      <c r="O5" s="20">
        <f>HLOOKUP("GA.FYLY.PaidUsers",Sheet2!$1:$2,2,FALSE)</f>
        <v>377570</v>
      </c>
      <c r="P5" s="19">
        <f t="shared" si="4"/>
        <v>-6.1858728182853512E-2</v>
      </c>
    </row>
    <row r="6" spans="1:16" x14ac:dyDescent="0.25">
      <c r="A6" s="14" t="s">
        <v>94</v>
      </c>
      <c r="C6" s="20">
        <f>HLOOKUP("GA.TW.OrganicUsers",Sheet2!$1:$2,2,FALSE)</f>
        <v>6574</v>
      </c>
      <c r="D6" s="20">
        <f>HLOOKUP("GA.LW.OrganicUsers",Sheet2!$1:$2,2,FALSE)</f>
        <v>7680</v>
      </c>
      <c r="E6" s="19">
        <f t="shared" si="0"/>
        <v>-0.14401041666666667</v>
      </c>
      <c r="F6" s="20">
        <f>HLOOKUP("GA.TWLY.OrganicUsers",Sheet2!$1:$2,2,FALSE)</f>
        <v>6579</v>
      </c>
      <c r="G6" s="19">
        <f t="shared" si="1"/>
        <v>-7.5999392004863964E-4</v>
      </c>
      <c r="H6" s="20">
        <f>HLOOKUP("GA.TM.OrganicUsers",Sheet2!$1:$2,2,FALSE)</f>
        <v>16898</v>
      </c>
      <c r="I6" s="20">
        <f>HLOOKUP("GA.TMLY.OrganicUsers",Sheet2!$1:$2,2,FALSE)</f>
        <v>16346</v>
      </c>
      <c r="J6" s="19">
        <f t="shared" si="2"/>
        <v>3.3769729597455035E-2</v>
      </c>
      <c r="K6" s="20">
        <f>HLOOKUP("GA.FY.OrganicUsers",Sheet2!$1:$2,2,FALSE)</f>
        <v>178557</v>
      </c>
      <c r="L6" s="20">
        <f>HLOOKUP("GA.FYLY.OrganicUsers",Sheet2!$1:$2,2,FALSE)</f>
        <v>156660</v>
      </c>
      <c r="M6" s="19">
        <f t="shared" si="3"/>
        <v>0.13977403293757182</v>
      </c>
      <c r="N6" s="20">
        <f>HLOOKUP("GA.FY.OrganicUsers",Sheet2!$1:$2,2,FALSE)</f>
        <v>178557</v>
      </c>
      <c r="O6" s="20">
        <f>HLOOKUP("GA.FYLY.OrganicUsers",Sheet2!$1:$2,2,FALSE)</f>
        <v>156660</v>
      </c>
      <c r="P6" s="19">
        <f t="shared" si="4"/>
        <v>0.13977403293757182</v>
      </c>
    </row>
    <row r="7" spans="1:16" x14ac:dyDescent="0.25">
      <c r="A7" s="14" t="s">
        <v>95</v>
      </c>
      <c r="C7" s="20">
        <f>HLOOKUP("GA.TW.EmailUsers",Sheet2!$1:$2,2,FALSE)</f>
        <v>3565</v>
      </c>
      <c r="D7" s="20">
        <f>HLOOKUP("GA.LW.EmailUsers",Sheet2!$1:$2,2,FALSE)</f>
        <v>1167</v>
      </c>
      <c r="E7" s="19">
        <f t="shared" si="0"/>
        <v>2.0548414738646099</v>
      </c>
      <c r="F7" s="20">
        <f>HLOOKUP("GA.TWLY.EmailUsers",Sheet2!$1:$2,2,FALSE)</f>
        <v>1074</v>
      </c>
      <c r="G7" s="19">
        <f t="shared" si="1"/>
        <v>2.319366852886406</v>
      </c>
      <c r="H7" s="20">
        <f>HLOOKUP("GA.TM.EmailUsers",Sheet2!$1:$2,2,FALSE)</f>
        <v>4911</v>
      </c>
      <c r="I7" s="20">
        <f>HLOOKUP("GA.TMLY.EmailUsers",Sheet2!$1:$2,2,FALSE)</f>
        <v>1526</v>
      </c>
      <c r="J7" s="19">
        <f t="shared" si="2"/>
        <v>2.2182175622542597</v>
      </c>
      <c r="K7" s="20">
        <f>HLOOKUP("GA.FY.EmailUsers",Sheet2!$1:$2,2,FALSE)</f>
        <v>34605</v>
      </c>
      <c r="L7" s="20">
        <f>HLOOKUP("GA.FYLY.EmailUsers",Sheet2!$1:$2,2,FALSE)</f>
        <v>30454</v>
      </c>
      <c r="M7" s="19">
        <f t="shared" si="3"/>
        <v>0.13630393380179945</v>
      </c>
      <c r="N7" s="20">
        <f>HLOOKUP("GA.FY.EmailUsers",Sheet2!$1:$2,2,FALSE)</f>
        <v>34605</v>
      </c>
      <c r="O7" s="20">
        <f>HLOOKUP("GA.FYLY.EmailUsers",Sheet2!$1:$2,2,FALSE)</f>
        <v>30454</v>
      </c>
      <c r="P7" s="19">
        <f t="shared" si="4"/>
        <v>0.13630393380179945</v>
      </c>
    </row>
    <row r="8" spans="1:16" x14ac:dyDescent="0.25">
      <c r="A8" t="s">
        <v>96</v>
      </c>
      <c r="C8" s="20">
        <f>HLOOKUP("MCF.TW.GoalConversionsTotal",Sheet2!$1:$2,2,FALSE)</f>
        <v>874</v>
      </c>
      <c r="D8" s="20">
        <f>HLOOKUP("MCF.LW.GoalConversionsTotal",Sheet2!$1:$2,2,FALSE)</f>
        <v>1169</v>
      </c>
      <c r="E8" s="19">
        <f t="shared" si="0"/>
        <v>-0.25235243798118051</v>
      </c>
      <c r="F8" s="20">
        <f>HLOOKUP("MCF.TWLY.GoalConversionsTotal",Sheet2!$1:$2,2,FALSE)</f>
        <v>689</v>
      </c>
      <c r="G8" s="19">
        <f t="shared" si="1"/>
        <v>0.26850507982583455</v>
      </c>
      <c r="H8" s="20">
        <f>HLOOKUP("MCF.TM.GoalConversionsTotal",Sheet2!$1:$2,2,FALSE)</f>
        <v>2418</v>
      </c>
      <c r="I8" s="20">
        <f>HLOOKUP("MCF.TMLY.GoalConversionsTotal",Sheet2!$1:$2,2,FALSE)</f>
        <v>2358</v>
      </c>
      <c r="J8" s="19">
        <f t="shared" si="2"/>
        <v>2.5445292620865138E-2</v>
      </c>
      <c r="K8" s="20">
        <f>HLOOKUP("MCF.FY.GoalConversionsTotal",Sheet2!$1:$2,2,FALSE)</f>
        <v>25070</v>
      </c>
      <c r="L8" s="20">
        <f>HLOOKUP("MCF.FYLY.GoalConversionsTotal",Sheet2!$1:$2,2,FALSE)</f>
        <v>28614</v>
      </c>
      <c r="M8" s="19">
        <f t="shared" si="3"/>
        <v>-0.12385545537149648</v>
      </c>
      <c r="N8" s="20">
        <f>HLOOKUP("MCF.FY.GoalConversionsTotal",Sheet2!$1:$2,2,FALSE)</f>
        <v>25070</v>
      </c>
      <c r="O8" s="20">
        <f>HLOOKUP("MCF.FYLY.GoalConversionsTotal",Sheet2!$1:$2,2,FALSE)</f>
        <v>28614</v>
      </c>
      <c r="P8" s="19">
        <f t="shared" si="4"/>
        <v>-0.12385545537149648</v>
      </c>
    </row>
    <row r="9" spans="1:16" x14ac:dyDescent="0.25">
      <c r="A9" s="14" t="s">
        <v>97</v>
      </c>
      <c r="C9" s="20">
        <f>HLOOKUP("MCF.TW.GoalConversionsPaidSearch",Sheet2!$1:$2,2,FALSE)+HLOOKUP("MCF.TW.GoalConversionsDisplay",Sheet2!$1:$2,2,FALSE)</f>
        <v>207.12874281005099</v>
      </c>
      <c r="D9" s="20">
        <f>HLOOKUP("MCF.LW.GoalConversionsPaidSearch",Sheet2!$1:$2,2,FALSE)+HLOOKUP("MCF.LW.GoalConversionsDisplay",Sheet2!$1:$2,2,FALSE)</f>
        <v>359.49611280365531</v>
      </c>
      <c r="E9" s="19">
        <f t="shared" si="0"/>
        <v>-0.42383593192514502</v>
      </c>
      <c r="F9" s="20">
        <f>HLOOKUP("MCF.TWLY.GoalConversionsPaidSearch",Sheet2!$1:$2,2,FALSE)+HLOOKUP("MCF.TWLY.GoalConversionsDisplay",Sheet2!$1:$2,2,FALSE)</f>
        <v>193.61447505305901</v>
      </c>
      <c r="G9" s="19">
        <f t="shared" si="1"/>
        <v>6.9799883264350313E-2</v>
      </c>
      <c r="H9" s="20">
        <f>HLOOKUP("MCF.TM.GoalConversionsPaidSearch",Sheet2!$1:$2,2,FALSE)+HLOOKUP("MCF.TM.GoalConversionsDisplay",Sheet2!$1:$2,2,FALSE)</f>
        <v>671.48663827548933</v>
      </c>
      <c r="I9" s="20">
        <f>HLOOKUP("MCF.TMLY.GoalConversionsPaidSearch",Sheet2!$1:$2,2,FALSE)+HLOOKUP("MCF.TMLY.GoalConversionsDisplay",Sheet2!$1:$2,2,FALSE)</f>
        <v>639.859372920032</v>
      </c>
      <c r="J9" s="19">
        <f t="shared" si="2"/>
        <v>4.9428463024812207E-2</v>
      </c>
      <c r="K9" s="20">
        <f>HLOOKUP("MCF.FY.GoalConversionsPaidSearch",Sheet2!$1:$2,2,FALSE)+HLOOKUP("MCF.FY.GoalConversionsDisplay",Sheet2!$1:$2,2,FALSE)</f>
        <v>6492.4503093485764</v>
      </c>
      <c r="L9" s="20">
        <f>HLOOKUP("MCF.FYLY.GoalConversionsPaidSearch",Sheet2!$1:$2,2,FALSE)+HLOOKUP("MCF.FYLY.GoalConversionsDisplay",Sheet2!$1:$2,2,FALSE)</f>
        <v>8475.1535703905156</v>
      </c>
      <c r="M9" s="19">
        <f t="shared" si="3"/>
        <v>-0.23394304829695031</v>
      </c>
      <c r="N9" s="20">
        <f>HLOOKUP("MCF.FY.GoalConversionsPaidSearch",Sheet2!$1:$2,2,FALSE)+HLOOKUP("MCF.FY.GoalConversionsDisplay",Sheet2!$1:$2,2,FALSE)</f>
        <v>6492.4503093485764</v>
      </c>
      <c r="O9" s="20">
        <f>HLOOKUP("MCF.FYLY.GoalConversionsPaidSearch",Sheet2!$1:$2,2,FALSE)+HLOOKUP("MCF.FYLY.GoalConversionsDisplay",Sheet2!$1:$2,2,FALSE)</f>
        <v>8475.1535703905156</v>
      </c>
      <c r="P9" s="19">
        <f t="shared" si="4"/>
        <v>-0.23394304829695031</v>
      </c>
    </row>
    <row r="10" spans="1:16" x14ac:dyDescent="0.25">
      <c r="A10" s="15" t="s">
        <v>100</v>
      </c>
      <c r="C10" s="22">
        <f>HLOOKUP("GA.TW.PPCCost",Sheet2!$1:$2,2,FALSE)</f>
        <v>7822.3408380000001</v>
      </c>
      <c r="D10" s="22">
        <f>HLOOKUP("GA.LW.PPCCost",Sheet2!$1:$2,2,FALSE)</f>
        <v>8097.5315609999998</v>
      </c>
      <c r="E10" s="19">
        <f t="shared" si="0"/>
        <v>-3.3984519964750243E-2</v>
      </c>
      <c r="F10" s="22">
        <f>HLOOKUP("GA.TWLY.PPCCost",Sheet2!$1:$2,2,FALSE)</f>
        <v>6455.33</v>
      </c>
      <c r="G10" s="19">
        <f t="shared" si="1"/>
        <v>0.21176467167441482</v>
      </c>
      <c r="H10" s="22">
        <f>HLOOKUP("GA.TM.PPCCost",Sheet2!$1:$2,2,FALSE)</f>
        <v>20404.493880000002</v>
      </c>
      <c r="I10" s="22">
        <f>HLOOKUP("GA.TMLY.PPCCost",Sheet2!$1:$2,2,FALSE)</f>
        <v>18281.21</v>
      </c>
      <c r="J10" s="19">
        <f t="shared" si="2"/>
        <v>0.1161456971393033</v>
      </c>
      <c r="K10" s="22">
        <f>HLOOKUP("GA.FY.PPCCost",Sheet2!$1:$2,2,FALSE)</f>
        <v>453775.61804199999</v>
      </c>
      <c r="L10" s="22">
        <f>HLOOKUP("GA.FYLY.PPCCost",Sheet2!$1:$2,2,FALSE)</f>
        <v>417786.25232799997</v>
      </c>
      <c r="M10" s="19">
        <f t="shared" si="3"/>
        <v>8.614301096184733E-2</v>
      </c>
      <c r="N10" s="22">
        <f>HLOOKUP("GA.FY.PPCCost",Sheet2!$1:$2,2,FALSE)</f>
        <v>453775.61804199999</v>
      </c>
      <c r="O10" s="22">
        <f>HLOOKUP("GA.FYLY.PPCCost",Sheet2!$1:$2,2,FALSE)</f>
        <v>417786.25232799997</v>
      </c>
      <c r="P10" s="19">
        <f t="shared" si="4"/>
        <v>8.614301096184733E-2</v>
      </c>
    </row>
    <row r="11" spans="1:16" x14ac:dyDescent="0.25">
      <c r="A11" t="s">
        <v>98</v>
      </c>
      <c r="C11" s="20">
        <f>HLOOKUP("MCF.TW.PhoneCallsPaidSearch",Sheet2!$1:$2,2,FALSE)+HLOOKUP("MCF.TW.PhoneCallsDisplay",Sheet2!$1:$2,2,FALSE)</f>
        <v>147.912502033284</v>
      </c>
      <c r="D11" s="20">
        <f>HLOOKUP("MCF.LW.PhoneCallsPaidSearch",Sheet2!$1:$2,2,FALSE)+HLOOKUP("MCF.LW.PhoneCallsDisplay",Sheet2!$1:$2,2,FALSE)</f>
        <v>281.38966843103429</v>
      </c>
      <c r="E11" s="19">
        <f t="shared" si="0"/>
        <v>-0.4743499188935722</v>
      </c>
      <c r="F11" s="20">
        <f>HLOOKUP("MCF.TWLY.PhoneCallsPaidSearch",Sheet2!$1:$2,2,FALSE)+HLOOKUP("MCF.TWLY.PhoneCallsDisplay",Sheet2!$1:$2,2,FALSE)</f>
        <v>151.830674866317</v>
      </c>
      <c r="G11" s="19">
        <f t="shared" si="1"/>
        <v>-2.5806200469587901E-2</v>
      </c>
      <c r="H11" s="20">
        <f>HLOOKUP("MCF.TM.PhoneCallsPaidSearch",Sheet2!$1:$2,2,FALSE)+HLOOKUP("MCF.TM.PhoneCallsDisplay",Sheet2!$1:$2,2,FALSE)</f>
        <v>498.52784201498929</v>
      </c>
      <c r="I11" s="20">
        <f>HLOOKUP("MCF.TMLY.PhoneCallsPaidSearch",Sheet2!$1:$2,2,FALSE)+HLOOKUP("MCF.TMLY.PhoneCallsDisplay",Sheet2!$1:$2,2,FALSE)</f>
        <v>508.41678008302199</v>
      </c>
      <c r="J11" s="19">
        <f t="shared" si="2"/>
        <v>-1.9450455719454984E-2</v>
      </c>
      <c r="K11" s="20">
        <f>HLOOKUP("MCF.FY.PhoneCallsPaidSearch",Sheet2!$1:$2,2,FALSE)+HLOOKUP("MCF.FY.PhoneCallsDisplay",Sheet2!$1:$2,2,FALSE)</f>
        <v>4561.8673258176768</v>
      </c>
      <c r="L11" s="20">
        <f>HLOOKUP("MCF.FYLY.PhoneCallsPaidSearch",Sheet2!$1:$2,2,FALSE)+HLOOKUP("MCF.FYLY.PhoneCallsDisplay",Sheet2!$1:$2,2,FALSE)</f>
        <v>6262.2040190283369</v>
      </c>
      <c r="M11" s="19">
        <f t="shared" si="3"/>
        <v>-0.27152368208445715</v>
      </c>
      <c r="N11" s="20">
        <f>HLOOKUP("MCF.FY.PhoneCallsPaidSearch",Sheet2!$1:$2,2,FALSE)+HLOOKUP("MCF.FY.PhoneCallsDisplay",Sheet2!$1:$2,2,FALSE)</f>
        <v>4561.8673258176768</v>
      </c>
      <c r="O11" s="20">
        <f>HLOOKUP("MCF.FYLY.PhoneCallsPaidSearch",Sheet2!$1:$2,2,FALSE)+HLOOKUP("MCF.FYLY.PhoneCallsDisplay",Sheet2!$1:$2,2,FALSE)</f>
        <v>6262.2040190283369</v>
      </c>
      <c r="P11" s="19">
        <f t="shared" si="4"/>
        <v>-0.27152368208445715</v>
      </c>
    </row>
    <row r="12" spans="1:16" x14ac:dyDescent="0.25">
      <c r="A12" t="s">
        <v>99</v>
      </c>
      <c r="C12" s="21">
        <f>C10/C8</f>
        <v>8.9500467254004583</v>
      </c>
      <c r="D12" s="21">
        <f>D10/D8</f>
        <v>6.926887562874251</v>
      </c>
      <c r="E12" s="19">
        <f t="shared" si="0"/>
        <v>0.29207333656888684</v>
      </c>
      <c r="F12" s="21">
        <f t="shared" ref="F12:O12" si="5">F10/F8</f>
        <v>9.3691291727140786</v>
      </c>
      <c r="G12" s="19">
        <f t="shared" si="1"/>
        <v>-4.4730138691451003E-2</v>
      </c>
      <c r="H12" s="21">
        <f t="shared" si="5"/>
        <v>8.4385830769230772</v>
      </c>
      <c r="I12" s="21">
        <f t="shared" si="5"/>
        <v>7.7528456318914332</v>
      </c>
      <c r="J12" s="19">
        <f t="shared" si="2"/>
        <v>8.8449774133365175E-2</v>
      </c>
      <c r="K12" s="21">
        <f t="shared" si="5"/>
        <v>18.100343759154367</v>
      </c>
      <c r="L12" s="21">
        <f t="shared" si="5"/>
        <v>14.600763693576569</v>
      </c>
      <c r="M12" s="19">
        <f t="shared" si="3"/>
        <v>0.23968472738980054</v>
      </c>
      <c r="N12" s="21">
        <f t="shared" si="5"/>
        <v>18.100343759154367</v>
      </c>
      <c r="O12" s="21">
        <f t="shared" si="5"/>
        <v>14.600763693576569</v>
      </c>
      <c r="P12" s="19">
        <f t="shared" si="4"/>
        <v>0.23968472738980054</v>
      </c>
    </row>
    <row r="13" spans="1:16" x14ac:dyDescent="0.25">
      <c r="C13" s="4"/>
      <c r="D13" s="4"/>
      <c r="E13" s="5"/>
      <c r="F13" s="4"/>
      <c r="G13" s="5"/>
      <c r="H13" s="4"/>
      <c r="I13" s="4"/>
      <c r="J13" s="5"/>
      <c r="K13" s="4"/>
      <c r="L13" s="4"/>
      <c r="M13" s="5"/>
      <c r="N13" s="4"/>
      <c r="O13" s="4"/>
      <c r="P13" s="5"/>
    </row>
    <row r="14" spans="1:16" x14ac:dyDescent="0.25">
      <c r="A14" s="10" t="s">
        <v>11</v>
      </c>
      <c r="E14" s="5"/>
      <c r="G14" s="5"/>
      <c r="J14" s="5"/>
      <c r="M14" s="5"/>
      <c r="P14" s="5"/>
    </row>
    <row r="15" spans="1:16" x14ac:dyDescent="0.25">
      <c r="A15" s="16" t="s">
        <v>101</v>
      </c>
      <c r="C15" s="23">
        <f>HLOOKUP("MCF.TW.GoalConversionsTotal",Sheet2!$1:$2,2,FALSE)+HLOOKUP("QuotedTW.EnquiryBookingSalesCentre",Sheet2!$1:$2,2,FALSE)</f>
        <v>1049</v>
      </c>
      <c r="D15" s="23">
        <f>HLOOKUP("MCF.LW.GoalConversionsTotal",Sheet2!$1:$2,2,FALSE)+HLOOKUP("QuotedLW.EnquiryBookingSalesCentre",Sheet2!$1:$2,2,FALSE)</f>
        <v>1341</v>
      </c>
      <c r="E15" s="5">
        <f t="shared" ref="E15:E28" si="6">IFERROR((C15-D15)/D15,0)</f>
        <v>-0.21774794929157346</v>
      </c>
      <c r="F15" s="23">
        <f>HLOOKUP("MCF.TWLY.GoalConversionsTotal",Sheet2!$1:$2,2,FALSE)+HLOOKUP("QuotedTWLY.EnquiryBookingSalesCentre",Sheet2!$1:$2,2,FALSE)</f>
        <v>771</v>
      </c>
      <c r="G15" s="5">
        <f t="shared" ref="G15:G28" si="7">IFERROR((C15-F15)/F15,0)</f>
        <v>0.36057068741893644</v>
      </c>
      <c r="H15" s="23">
        <f>HLOOKUP("MCF.TM.GoalConversionsTotal",Sheet2!$1:$2,2,FALSE)+HLOOKUP("QuotedTM.EnquiryBookingSalesCentre",Sheet2!$1:$2,2,FALSE)</f>
        <v>2856</v>
      </c>
      <c r="I15" s="23">
        <f>HLOOKUP("MCF.TMLY.GoalConversionsTotal",Sheet2!$1:$2,2,FALSE)+HLOOKUP("QuotedTMLY.EnquiryBookingSalesCentre",Sheet2!$1:$2,2,FALSE)</f>
        <v>2610</v>
      </c>
      <c r="J15" s="5">
        <f t="shared" ref="J15:J28" si="8">IFERROR((H15-I15)/I15,0)</f>
        <v>9.4252873563218389E-2</v>
      </c>
      <c r="K15" s="23">
        <f>HLOOKUP("MCF.FY.GoalConversionsTotal",Sheet2!$1:$2,2,FALSE)+HLOOKUP("QuotedTY.EnquiryBookingSalesCentre",Sheet2!$1:$2,2,FALSE)</f>
        <v>30675</v>
      </c>
      <c r="L15" s="23">
        <f>HLOOKUP("MCF.FYLY.GoalConversionsTotal",Sheet2!$1:$2,2,FALSE)+HLOOKUP("QuotedLY.EnquiryBookingSalesCentre",Sheet2!$1:$2,2,FALSE)</f>
        <v>33064</v>
      </c>
      <c r="M15" s="5">
        <f t="shared" ref="M15:M28" si="9">IFERROR((K15-L15)/L15,0)</f>
        <v>-7.2253810791192835E-2</v>
      </c>
      <c r="N15" s="23">
        <f>HLOOKUP("MCF.FY.GoalConversionsTotal",Sheet2!$1:$2,2,FALSE)+HLOOKUP("DepartureYearTY.EnquiryBookingSalesCentre",Sheet2!$1:$2,2,FALSE)</f>
        <v>30574</v>
      </c>
      <c r="O15" s="23">
        <f>HLOOKUP("MCF.FY.GoalConversionsTotal",Sheet2!$1:$2,2,FALSE)+HLOOKUP("DepartureYearLY.EnquiryBookingSalesCentre",Sheet2!$1:$2,2,FALSE)</f>
        <v>29697</v>
      </c>
      <c r="P15" s="5">
        <f t="shared" ref="P15:P28" si="10">IFERROR((N15-O15)/O15,0)</f>
        <v>2.9531602518772938E-2</v>
      </c>
    </row>
    <row r="16" spans="1:16" x14ac:dyDescent="0.25">
      <c r="A16" s="16" t="s">
        <v>102</v>
      </c>
      <c r="C16" s="15">
        <f>HLOOKUP("OptionedTW.LiveOptionBooking",Sheet2!$1:$2,2,FALSE)</f>
        <v>49</v>
      </c>
      <c r="D16" s="15">
        <f>HLOOKUP("OptionedLW.LiveOptionBooking",Sheet2!$1:$2,2,FALSE)</f>
        <v>33</v>
      </c>
      <c r="E16" s="5">
        <f t="shared" si="6"/>
        <v>0.48484848484848486</v>
      </c>
      <c r="F16" s="15">
        <f>HLOOKUP("OptionedTWLY.LiveOptionBooking",Sheet2!$1:$2,2,FALSE)</f>
        <v>0</v>
      </c>
      <c r="G16" s="5">
        <f t="shared" si="7"/>
        <v>0</v>
      </c>
      <c r="H16" s="15">
        <f>HLOOKUP("OptionedTM.LiveOptionBooking",Sheet2!$1:$2,2,FALSE)</f>
        <v>115</v>
      </c>
      <c r="I16" s="15">
        <f>HLOOKUP("OptionedTMLY.LiveOptionBooking",Sheet2!$1:$2,2,FALSE)</f>
        <v>0</v>
      </c>
      <c r="J16" s="5">
        <f t="shared" si="8"/>
        <v>0</v>
      </c>
      <c r="K16" s="15">
        <f>HLOOKUP("OptionedTY.LiveOptionBooking",Sheet2!$1:$2,2,FALSE)</f>
        <v>511</v>
      </c>
      <c r="L16" s="15">
        <f>HLOOKUP("OptionedLY.LiveOptionBooking",Sheet2!$1:$2,2,FALSE)</f>
        <v>1</v>
      </c>
      <c r="M16" s="5">
        <f t="shared" si="9"/>
        <v>510</v>
      </c>
      <c r="N16" s="15">
        <f>HLOOKUP("DepartureYearTY.LiveOptionBooking",Sheet2!$1:$2,2,FALSE)</f>
        <v>27</v>
      </c>
      <c r="O16" s="15">
        <f>HLOOKUP("DepartureYearLY.LiveOptionBooking",Sheet2!$1:$2,2,FALSE)</f>
        <v>1</v>
      </c>
      <c r="P16" s="5">
        <f t="shared" si="10"/>
        <v>26</v>
      </c>
    </row>
    <row r="17" spans="1:16" x14ac:dyDescent="0.25">
      <c r="A17" s="17" t="s">
        <v>103</v>
      </c>
      <c r="C17" s="18">
        <f>HLOOKUP("OptionedTW.LiveOptionRevenue",Sheet2!$1:$2,2,FALSE)</f>
        <v>208251</v>
      </c>
      <c r="D17" s="18">
        <f>HLOOKUP("OptionedLW.LiveOptionRevenue",Sheet2!$1:$2,2,FALSE)</f>
        <v>161430</v>
      </c>
      <c r="E17" s="5">
        <f t="shared" si="6"/>
        <v>0.29003902620330796</v>
      </c>
      <c r="F17" s="18">
        <f>HLOOKUP("OptionedTWLY.LiveOptionRevenue",Sheet2!$1:$2,2,FALSE)</f>
        <v>0</v>
      </c>
      <c r="G17" s="5">
        <f t="shared" si="7"/>
        <v>0</v>
      </c>
      <c r="H17" s="18">
        <f>HLOOKUP("OptionedTM.LiveOptionRevenue",Sheet2!$1:$2,2,FALSE)</f>
        <v>518767</v>
      </c>
      <c r="I17" s="18">
        <f>HLOOKUP("OptionedTMLY.LiveOptionRevenue",Sheet2!$1:$2,2,FALSE)</f>
        <v>0</v>
      </c>
      <c r="J17" s="5">
        <f t="shared" si="8"/>
        <v>0</v>
      </c>
      <c r="K17" s="18">
        <f>HLOOKUP("OptionedTY.LiveOptionRevenue",Sheet2!$1:$2,2,FALSE)</f>
        <v>2556863</v>
      </c>
      <c r="L17" s="18">
        <f>HLOOKUP("OptionedLY.LiveOptionRevenue",Sheet2!$1:$2,2,FALSE)</f>
        <v>0</v>
      </c>
      <c r="M17" s="5">
        <f t="shared" si="9"/>
        <v>0</v>
      </c>
      <c r="N17" s="18">
        <f>HLOOKUP("DepartureYearTY.LiveOptionRevenue",Sheet2!$1:$2,2,FALSE)</f>
        <v>41651</v>
      </c>
      <c r="O17" s="18">
        <f>HLOOKUP("DepartureYearLY.LiveOptionRevenue",Sheet2!$1:$2,2,FALSE)</f>
        <v>0</v>
      </c>
      <c r="P17" s="5">
        <f t="shared" si="10"/>
        <v>0</v>
      </c>
    </row>
    <row r="18" spans="1:16" x14ac:dyDescent="0.25">
      <c r="A18" s="9" t="s">
        <v>12</v>
      </c>
      <c r="C18" s="8">
        <f>HLOOKUP("ConfirmedTW.ConfirmedBookingTotal",Sheet2!$1:$2,2,FALSE)</f>
        <v>151</v>
      </c>
      <c r="D18" s="8">
        <f>HLOOKUP("ConfirmedLW.ConfirmedBookingTotal",Sheet2!$1:$2,2,FALSE)</f>
        <v>191</v>
      </c>
      <c r="E18" s="5">
        <f t="shared" si="6"/>
        <v>-0.20942408376963351</v>
      </c>
      <c r="F18" s="8">
        <f>HLOOKUP("ConfirmedTWLY.ConfirmedBookingTotal",Sheet2!$1:$2,2,FALSE)</f>
        <v>98</v>
      </c>
      <c r="G18" s="5">
        <f t="shared" si="7"/>
        <v>0.54081632653061229</v>
      </c>
      <c r="H18" s="8">
        <f>HLOOKUP("ConfirmedTM.ConfirmedBookingTotal",Sheet2!$1:$2,2,FALSE)</f>
        <v>429</v>
      </c>
      <c r="I18" s="8">
        <f>HLOOKUP("ConfirmedTMLY.ConfirmedBookingTotal",Sheet2!$1:$2,2,FALSE)</f>
        <v>314</v>
      </c>
      <c r="J18" s="5">
        <f t="shared" si="8"/>
        <v>0.36624203821656048</v>
      </c>
      <c r="K18" s="8">
        <f>HLOOKUP("ConfirmedTY.ConfirmedBookingTotal",Sheet2!$1:$2,2,FALSE)</f>
        <v>6059</v>
      </c>
      <c r="L18" s="8">
        <f>HLOOKUP("ConfirmedLY.ConfirmedBookingTotal",Sheet2!$1:$2,2,FALSE)</f>
        <v>5726</v>
      </c>
      <c r="M18" s="5">
        <f t="shared" si="9"/>
        <v>5.8155780649668178E-2</v>
      </c>
      <c r="N18" s="8">
        <f>HLOOKUP("DepartureYearTY.ConfirmedBookingTotal",Sheet2!$1:$2,2,FALSE)</f>
        <v>7192</v>
      </c>
      <c r="O18" s="8">
        <f>HLOOKUP("DepartureYearLY.ConfirmedBookingTotal",Sheet2!$1:$2,2,FALSE)</f>
        <v>6491</v>
      </c>
      <c r="P18" s="5">
        <f t="shared" si="10"/>
        <v>0.10799568633492528</v>
      </c>
    </row>
    <row r="19" spans="1:16" x14ac:dyDescent="0.25">
      <c r="A19" s="9" t="s">
        <v>13</v>
      </c>
      <c r="C19" s="8">
        <f>HLOOKUP("ConfirmedTW.ConfirmedBookingTotalExcludingFO",Sheet2!$1:$2,2,FALSE)</f>
        <v>137</v>
      </c>
      <c r="D19" s="8">
        <f>HLOOKUP("ConfirmedLW.ConfirmedBookingTotalExcludingFO",Sheet2!$1:$2,2,FALSE)</f>
        <v>158</v>
      </c>
      <c r="E19" s="5">
        <f t="shared" si="6"/>
        <v>-0.13291139240506328</v>
      </c>
      <c r="F19" s="8">
        <f>HLOOKUP("ConfirmedTWLY.ConfirmedBookingTotalExcludingFO",Sheet2!$1:$2,2,FALSE)</f>
        <v>95</v>
      </c>
      <c r="G19" s="5">
        <f t="shared" si="7"/>
        <v>0.44210526315789472</v>
      </c>
      <c r="H19" s="8">
        <f>HLOOKUP("ConfirmedTM.ConfirmedBookingTotalExcludingFO",Sheet2!$1:$2,2,FALSE)</f>
        <v>377</v>
      </c>
      <c r="I19" s="8">
        <f>HLOOKUP("ConfirmedTMLY.ConfirmedBookingTotalExcludingFO",Sheet2!$1:$2,2,FALSE)</f>
        <v>305</v>
      </c>
      <c r="J19" s="5">
        <f t="shared" si="8"/>
        <v>0.23606557377049181</v>
      </c>
      <c r="K19" s="8">
        <f>HLOOKUP("ConfirmedTY.ConfirmedBookingTotalExcludingFO",Sheet2!$1:$2,2,FALSE)</f>
        <v>5653</v>
      </c>
      <c r="L19" s="8">
        <f>HLOOKUP("ConfirmedLY.ConfirmedBookingTotalExcludingFO",Sheet2!$1:$2,2,FALSE)</f>
        <v>5672</v>
      </c>
      <c r="M19" s="5">
        <f t="shared" si="9"/>
        <v>-3.3497884344146685E-3</v>
      </c>
      <c r="N19" s="8">
        <f>HLOOKUP("DepartureYearTY.ConfirmedBookingTotalExcludingFO",Sheet2!$1:$2,2,FALSE)</f>
        <v>6787</v>
      </c>
      <c r="O19" s="8">
        <f>HLOOKUP("DepartureYearLY.ConfirmedBookingTotalExcludingFO",Sheet2!$1:$2,2,FALSE)</f>
        <v>6437</v>
      </c>
      <c r="P19" s="5">
        <f t="shared" si="10"/>
        <v>5.4373155196520119E-2</v>
      </c>
    </row>
    <row r="20" spans="1:16" x14ac:dyDescent="0.25">
      <c r="A20" s="1" t="s">
        <v>57</v>
      </c>
      <c r="C20" s="8">
        <f>HLOOKUP("ConfirmedTW.ConfirmedBookingTotalExcludingFODepartureYear",Sheet2!$1:$2,2,FALSE)</f>
        <v>133</v>
      </c>
      <c r="D20" s="8">
        <f>HLOOKUP("ConfirmedLW.ConfirmedBookingTotalExcludingFODepartureYear",Sheet2!$1:$2,2,FALSE)</f>
        <v>149</v>
      </c>
      <c r="E20" s="5">
        <f t="shared" si="6"/>
        <v>-0.10738255033557047</v>
      </c>
      <c r="F20" s="8">
        <f>HLOOKUP("ConfirmedTWLY.ConfirmedBookingTotalExcludingFODepartureYear",Sheet2!$1:$2,2,FALSE)</f>
        <v>76</v>
      </c>
      <c r="G20" s="5">
        <f t="shared" si="7"/>
        <v>0.75</v>
      </c>
      <c r="H20" s="8">
        <f>HLOOKUP("ConfirmedTM.ConfirmedBookingTotalExcludingFODepartureYear",Sheet2!$1:$2,2,FALSE)</f>
        <v>364</v>
      </c>
      <c r="I20" s="8">
        <f>HLOOKUP("ConfirmedTMLY.ConfirmedBookingTotalExcludingFODepartureYear",Sheet2!$1:$2,2,FALSE)</f>
        <v>221</v>
      </c>
      <c r="J20" s="5">
        <f t="shared" si="8"/>
        <v>0.6470588235294118</v>
      </c>
      <c r="K20" s="8">
        <f>HLOOKUP("ConfirmedTY.ConfirmedBookingTotalExcludingFODepartureYear",Sheet2!$1:$2,2,FALSE)</f>
        <v>5633</v>
      </c>
      <c r="L20" s="8">
        <f>HLOOKUP("ConfirmedLY.ConfirmedBookingTotalExcludingFODepartureYear",Sheet2!$1:$2,2,FALSE)</f>
        <v>5480</v>
      </c>
      <c r="M20" s="5">
        <f t="shared" si="9"/>
        <v>2.791970802919708E-2</v>
      </c>
      <c r="N20" s="8">
        <f>HLOOKUP("DepartureYearTY.ConfirmedBookingTotalExcludingFO",Sheet2!$1:$2,2,FALSE)</f>
        <v>6787</v>
      </c>
      <c r="O20" s="8">
        <f>HLOOKUP("DepartureYearLY.ConfirmedBookingTotalExcludingFO",Sheet2!$1:$2,2,FALSE)</f>
        <v>6437</v>
      </c>
      <c r="P20" s="5">
        <f t="shared" si="10"/>
        <v>5.4373155196520119E-2</v>
      </c>
    </row>
    <row r="21" spans="1:16" x14ac:dyDescent="0.25">
      <c r="A21" s="1" t="s">
        <v>14</v>
      </c>
      <c r="C21" s="8">
        <f>HLOOKUP("ConfirmedTW.ConfirmedBookingSalesCentreExcludingFO",Sheet2!$1:$2,2,FALSE)</f>
        <v>128</v>
      </c>
      <c r="D21" s="8">
        <f>HLOOKUP("ConfirmedLW.ConfirmedBookingSalesCentreExcludingFO",Sheet2!$1:$2,2,FALSE)</f>
        <v>141</v>
      </c>
      <c r="E21" s="5">
        <f t="shared" si="6"/>
        <v>-9.2198581560283682E-2</v>
      </c>
      <c r="F21" s="8">
        <f>HLOOKUP("ConfirmedTWLY.ConfirmedBookingSalesCentreExcludingFO",Sheet2!$1:$2,2,FALSE)</f>
        <v>81</v>
      </c>
      <c r="G21" s="5">
        <f t="shared" si="7"/>
        <v>0.58024691358024694</v>
      </c>
      <c r="H21" s="8">
        <f>HLOOKUP("ConfirmedTM.ConfirmedBookingSalesCentreExcludingFO",Sheet2!$1:$2,2,FALSE)</f>
        <v>342</v>
      </c>
      <c r="I21" s="8">
        <f>HLOOKUP("ConfirmedTMLY.ConfirmedBookingSalesCentreExcludingFO",Sheet2!$1:$2,2,FALSE)</f>
        <v>272</v>
      </c>
      <c r="J21" s="5">
        <f t="shared" si="8"/>
        <v>0.25735294117647056</v>
      </c>
      <c r="K21" s="8">
        <f>HLOOKUP("ConfirmedTY.ConfirmedBookingSalesCentreExcludingFO",Sheet2!$1:$2,2,FALSE)</f>
        <v>4776</v>
      </c>
      <c r="L21" s="8">
        <f>HLOOKUP("ConfirmedLY.ConfirmedBookingSalesCentreExcludingFO",Sheet2!$1:$2,2,FALSE)</f>
        <v>4728</v>
      </c>
      <c r="M21" s="5">
        <f t="shared" si="9"/>
        <v>1.015228426395939E-2</v>
      </c>
      <c r="N21" s="8">
        <f>HLOOKUP("DepartureYearTY.ConfirmedBookingSalesCentreExcludingFO",Sheet2!$1:$2,2,FALSE)</f>
        <v>5802</v>
      </c>
      <c r="O21" s="8">
        <f>HLOOKUP("DepartureYearLY.ConfirmedBookingSalesCentreExcludingFO",Sheet2!$1:$2,2,FALSE)</f>
        <v>5402</v>
      </c>
      <c r="P21" s="5">
        <f t="shared" si="10"/>
        <v>7.4046649389115149E-2</v>
      </c>
    </row>
    <row r="22" spans="1:16" x14ac:dyDescent="0.25">
      <c r="A22" s="1" t="s">
        <v>15</v>
      </c>
      <c r="C22" s="8">
        <f>HLOOKUP("ConfirmedTW.ConfirmedBookingWebsiteExcludingFO",Sheet2!$1:$2,2,FALSE)</f>
        <v>9</v>
      </c>
      <c r="D22" s="8">
        <f>HLOOKUP("ConfirmedLW.ConfirmedBookingWebsiteExcludingFO",Sheet2!$1:$2,2,FALSE)</f>
        <v>17</v>
      </c>
      <c r="E22" s="5">
        <f t="shared" si="6"/>
        <v>-0.47058823529411764</v>
      </c>
      <c r="F22" s="8">
        <f>HLOOKUP("ConfirmedTWLY.ConfirmedBookingWebsiteExcludingFO",Sheet2!$1:$2,2,FALSE)</f>
        <v>14</v>
      </c>
      <c r="G22" s="5">
        <f t="shared" si="7"/>
        <v>-0.35714285714285715</v>
      </c>
      <c r="H22" s="8">
        <f>HLOOKUP("ConfirmedTM.ConfirmedBookingWebsiteExcludingFO",Sheet2!$1:$2,2,FALSE)</f>
        <v>35</v>
      </c>
      <c r="I22" s="8">
        <f>HLOOKUP("ConfirmedTMLY.ConfirmedBookingWebsiteExcludingFO",Sheet2!$1:$2,2,FALSE)</f>
        <v>33</v>
      </c>
      <c r="J22" s="5">
        <f t="shared" si="8"/>
        <v>6.0606060606060608E-2</v>
      </c>
      <c r="K22" s="8">
        <f>HLOOKUP("ConfirmedTY.ConfirmedBookingWebsiteExcludingFO",Sheet2!$1:$2,2,FALSE)</f>
        <v>877</v>
      </c>
      <c r="L22" s="8">
        <f>HLOOKUP("ConfirmedLY.ConfirmedBookingWebsiteExcludingFO",Sheet2!$1:$2,2,FALSE)</f>
        <v>944</v>
      </c>
      <c r="M22" s="5">
        <f t="shared" si="9"/>
        <v>-7.0974576271186446E-2</v>
      </c>
      <c r="N22" s="8">
        <f>HLOOKUP("DepartureYearTY.ConfirmedBookingWebsiteExcludingFO",Sheet2!$1:$2,2,FALSE)</f>
        <v>985</v>
      </c>
      <c r="O22" s="8">
        <f>HLOOKUP("DepartureYearLY.ConfirmedBookingWebsiteExcludingFO",Sheet2!$1:$2,2,FALSE)</f>
        <v>1035</v>
      </c>
      <c r="P22" s="5">
        <f t="shared" si="10"/>
        <v>-4.8309178743961352E-2</v>
      </c>
    </row>
    <row r="23" spans="1:16" x14ac:dyDescent="0.25">
      <c r="A23" s="1" t="s">
        <v>16</v>
      </c>
      <c r="C23" s="5">
        <f>IFERROR(C22/C19,0)</f>
        <v>6.569343065693431E-2</v>
      </c>
      <c r="D23" s="5">
        <f>IFERROR(D22/D19,0)</f>
        <v>0.10759493670886076</v>
      </c>
      <c r="E23" s="5">
        <f t="shared" si="6"/>
        <v>-0.38943752683555172</v>
      </c>
      <c r="F23" s="5">
        <f>IFERROR(F22/F19,0)</f>
        <v>0.14736842105263157</v>
      </c>
      <c r="G23" s="5">
        <f t="shared" si="7"/>
        <v>-0.55422314911366</v>
      </c>
      <c r="H23" s="5">
        <f>IFERROR(H22/H19,0)</f>
        <v>9.2838196286472149E-2</v>
      </c>
      <c r="I23" s="5">
        <f>IFERROR(I22/I19,0)</f>
        <v>0.10819672131147541</v>
      </c>
      <c r="J23" s="5">
        <f t="shared" si="8"/>
        <v>-0.14195000401896954</v>
      </c>
      <c r="K23" s="5">
        <f>IFERROR(K22/K19,0)</f>
        <v>0.15513886431983018</v>
      </c>
      <c r="L23" s="5">
        <f>IFERROR(L22/L19,0)</f>
        <v>0.16643159379407615</v>
      </c>
      <c r="M23" s="5">
        <f t="shared" si="9"/>
        <v>-6.7852077942715236E-2</v>
      </c>
      <c r="N23" s="5">
        <f>IFERROR(N22/N19,0)</f>
        <v>0.14513039634595551</v>
      </c>
      <c r="O23" s="5">
        <f>IFERROR(O22/O19,0)</f>
        <v>0.1607891875097095</v>
      </c>
      <c r="P23" s="5">
        <f t="shared" si="10"/>
        <v>-9.7387090551772387E-2</v>
      </c>
    </row>
    <row r="24" spans="1:16" x14ac:dyDescent="0.25">
      <c r="A24" s="9" t="s">
        <v>17</v>
      </c>
      <c r="C24" s="8">
        <f>HLOOKUP("ConfirmedTW.ConfirmedPAXCountDepartureYear",Sheet2!$1:$2,2,FALSE)</f>
        <v>413</v>
      </c>
      <c r="D24" s="8">
        <f>HLOOKUP("ConfirmedLW.ConfirmedPAXCountDepartureYear",Sheet2!$1:$2,2,FALSE)</f>
        <v>496</v>
      </c>
      <c r="E24" s="5">
        <f t="shared" si="6"/>
        <v>-0.16733870967741934</v>
      </c>
      <c r="F24" s="8">
        <f>HLOOKUP("ConfirmedTWLY.ConfirmedPAXCountDepartureYear",Sheet2!$1:$2,2,FALSE)</f>
        <v>231</v>
      </c>
      <c r="G24" s="5">
        <f t="shared" si="7"/>
        <v>0.78787878787878785</v>
      </c>
      <c r="H24" s="8">
        <f>HLOOKUP("ConfirmedTM.ConfirmedPAXCountDepartureYear",Sheet2!$1:$2,2,FALSE)</f>
        <v>1141</v>
      </c>
      <c r="I24" s="8">
        <f>HLOOKUP("ConfirmedTMLY.ConfirmedPAXCountDepartureYear",Sheet2!$1:$2,2,FALSE)</f>
        <v>641</v>
      </c>
      <c r="J24" s="5">
        <f t="shared" si="8"/>
        <v>0.78003120124804992</v>
      </c>
      <c r="K24" s="8">
        <f>HLOOKUP("ConfirmedTY.ConfirmedPAXCountDepartureYear",Sheet2!$1:$2,2,FALSE)</f>
        <v>20143</v>
      </c>
      <c r="L24" s="8">
        <f>HLOOKUP("ConfirmedLY.ConfirmedPAXCountDepartureYear",Sheet2!$1:$2,2,FALSE)</f>
        <v>18307</v>
      </c>
      <c r="M24" s="5">
        <f t="shared" si="9"/>
        <v>0.10028950674605343</v>
      </c>
      <c r="N24" s="8">
        <f>HLOOKUP("DepartureYearTY.ConfirmedPAXCount",Sheet2!$1:$2,2,FALSE)</f>
        <v>23976</v>
      </c>
      <c r="O24" s="8">
        <f>HLOOKUP("DepartureYearLY.ConfirmedPAXCount",Sheet2!$1:$2,2,FALSE)</f>
        <v>21617</v>
      </c>
      <c r="P24" s="5">
        <f t="shared" si="10"/>
        <v>0.10912707591247629</v>
      </c>
    </row>
    <row r="25" spans="1:16" x14ac:dyDescent="0.25">
      <c r="A25" s="9" t="s">
        <v>18</v>
      </c>
      <c r="C25" s="7">
        <f>HLOOKUP("ConfirmedTW.ConfirmedRevenueTotal",Sheet2!$1:$2,2,FALSE)</f>
        <v>439929.4</v>
      </c>
      <c r="D25" s="7">
        <f>HLOOKUP("ConfirmedLW.ConfirmedRevenueTotal",Sheet2!$1:$2,2,FALSE)</f>
        <v>579411.85</v>
      </c>
      <c r="E25" s="5">
        <f t="shared" si="6"/>
        <v>-0.24073109654212277</v>
      </c>
      <c r="F25" s="7">
        <f>HLOOKUP("ConfirmedTWLY.ConfirmedRevenueTotal",Sheet2!$1:$2,2,FALSE)</f>
        <v>339545.21</v>
      </c>
      <c r="G25" s="5">
        <f t="shared" si="7"/>
        <v>0.29564307504146503</v>
      </c>
      <c r="H25" s="7">
        <f>HLOOKUP("ConfirmedTM.ConfirmedRevenueTotal",Sheet2!$1:$2,2,FALSE)</f>
        <v>1274092.83</v>
      </c>
      <c r="I25" s="7">
        <f>HLOOKUP("ConfirmedTMLY.ConfirmedRevenueTotal",Sheet2!$1:$2,2,FALSE)</f>
        <v>1181956.93</v>
      </c>
      <c r="J25" s="5">
        <f t="shared" si="8"/>
        <v>7.7951994409813347E-2</v>
      </c>
      <c r="K25" s="7">
        <f>HLOOKUP("ConfirmedTY.ConfirmedRevenueTotal",Sheet2!$1:$2,2,FALSE)</f>
        <v>24866780.25</v>
      </c>
      <c r="L25" s="7">
        <f>HLOOKUP("ConfirmedLY.ConfirmedRevenueTotal",Sheet2!$1:$2,2,FALSE)</f>
        <v>24030293.440000001</v>
      </c>
      <c r="M25" s="5">
        <f t="shared" si="9"/>
        <v>3.4809679377764545E-2</v>
      </c>
      <c r="N25" s="7">
        <f>HLOOKUP("DepartureYearTY.ConfirmedRevenueTotal",Sheet2!$1:$2,2,FALSE)</f>
        <v>30443766.100000098</v>
      </c>
      <c r="O25" s="7">
        <f>HLOOKUP("DepartureYearLY.ConfirmedRevenueTotal",Sheet2!$1:$2,2,FALSE)</f>
        <v>27966191.109999999</v>
      </c>
      <c r="P25" s="5">
        <f t="shared" si="10"/>
        <v>8.8591792148419557E-2</v>
      </c>
    </row>
    <row r="26" spans="1:16" x14ac:dyDescent="0.25">
      <c r="A26" s="1" t="s">
        <v>19</v>
      </c>
      <c r="C26" s="7">
        <f>HLOOKUP("ConfirmedTW.ConfirmedRevenueTotalExcludingFO",Sheet2!$1:$2,2,FALSE)</f>
        <v>435093.33</v>
      </c>
      <c r="D26" s="7">
        <f>HLOOKUP("ConfirmedLW.ConfirmedRevenueTotalExcludingFO",Sheet2!$1:$2,2,FALSE)</f>
        <v>571022.51</v>
      </c>
      <c r="E26" s="5">
        <f t="shared" si="6"/>
        <v>-0.23804522171989331</v>
      </c>
      <c r="F26" s="7">
        <f>HLOOKUP("ConfirmedTWLY.ConfirmedRevenueTotalExcludingFO",Sheet2!$1:$2,2,FALSE)</f>
        <v>339147.21</v>
      </c>
      <c r="G26" s="5">
        <f t="shared" si="7"/>
        <v>0.28290405219609499</v>
      </c>
      <c r="H26" s="7">
        <f>HLOOKUP("ConfirmedTM.ConfirmedRevenueTotalExcludingFO",Sheet2!$1:$2,2,FALSE)</f>
        <v>1259884.6000000001</v>
      </c>
      <c r="I26" s="7">
        <f>HLOOKUP("ConfirmedTMLY.ConfirmedRevenueTotalExcludingFO",Sheet2!$1:$2,2,FALSE)</f>
        <v>1179629.93</v>
      </c>
      <c r="J26" s="5">
        <f t="shared" si="8"/>
        <v>6.8033768861731209E-2</v>
      </c>
      <c r="K26" s="7">
        <f>HLOOKUP("ConfirmedTY.ConfirmedRevenueTotalExcludingFO",Sheet2!$1:$2,2,FALSE)</f>
        <v>24733871.780000001</v>
      </c>
      <c r="L26" s="7">
        <f>HLOOKUP("ConfirmedLY.ConfirmedRevenueTotalExcludingFO",Sheet2!$1:$2,2,FALSE)</f>
        <v>24022932.440000001</v>
      </c>
      <c r="M26" s="5">
        <f t="shared" si="9"/>
        <v>2.9594194704399703E-2</v>
      </c>
      <c r="N26" s="7">
        <f>HLOOKUP("DepartureYearTY.ConfirmedRevenueTotalExcludingFO",Sheet2!$1:$2,2,FALSE)</f>
        <v>30310857.6300001</v>
      </c>
      <c r="O26" s="7">
        <f>HLOOKUP("DepartureYearLY.ConfirmedRevenueTotalExcludingFO",Sheet2!$1:$2,2,FALSE)</f>
        <v>27958830.109999999</v>
      </c>
      <c r="P26" s="5">
        <f t="shared" si="10"/>
        <v>8.4124675844675395E-2</v>
      </c>
    </row>
    <row r="27" spans="1:16" x14ac:dyDescent="0.25">
      <c r="A27" s="1" t="s">
        <v>58</v>
      </c>
      <c r="C27" s="7">
        <f>HLOOKUP("ConfirmedTW.ConfirmedRevenueTotalExcludingFODepartureYear",Sheet2!$1:$2,2,FALSE)</f>
        <v>403013.33</v>
      </c>
      <c r="D27" s="7">
        <f>HLOOKUP("ConfirmedLW.ConfirmedRevenueTotalExcludingFODepartureYear",Sheet2!$1:$2,2,FALSE)</f>
        <v>493567.51</v>
      </c>
      <c r="E27" s="5">
        <f t="shared" si="6"/>
        <v>-0.18346868091054047</v>
      </c>
      <c r="F27" s="7">
        <f>HLOOKUP("ConfirmedTWLY.ConfirmedRevenueTotalExcludingFODepartureYear",Sheet2!$1:$2,2,FALSE)</f>
        <v>236978.29</v>
      </c>
      <c r="G27" s="5">
        <f t="shared" si="7"/>
        <v>0.7006339694661482</v>
      </c>
      <c r="H27" s="7">
        <f>HLOOKUP("ConfirmedTM.ConfirmedRevenueTotalExcludingFODepartureYear",Sheet2!$1:$2,2,FALSE)</f>
        <v>1150349.6000000001</v>
      </c>
      <c r="I27" s="7">
        <f>HLOOKUP("ConfirmedTMLY.ConfirmedRevenueTotalExcludingFODepartureYear",Sheet2!$1:$2,2,FALSE)</f>
        <v>696850.29</v>
      </c>
      <c r="J27" s="5">
        <f t="shared" si="8"/>
        <v>0.65078441741051729</v>
      </c>
      <c r="K27" s="7">
        <f>HLOOKUP("ConfirmedTY.ConfirmedRevenueTotalExcludingFODepartureYear",Sheet2!$1:$2,2,FALSE)</f>
        <v>24585096.780000001</v>
      </c>
      <c r="L27" s="7">
        <f>HLOOKUP("ConfirmedLY.ConfirmedRevenueTotalExcludingFODepartureYear",Sheet2!$1:$2,2,FALSE)</f>
        <v>22988279.68</v>
      </c>
      <c r="M27" s="5">
        <f t="shared" si="9"/>
        <v>6.9462226935982779E-2</v>
      </c>
      <c r="N27" s="7">
        <f>HLOOKUP("DepartureYearTY.ConfirmedRevenueTotalExcludingFO",Sheet2!$1:$2,2,FALSE)</f>
        <v>30310857.6300001</v>
      </c>
      <c r="O27" s="7">
        <f>HLOOKUP("DepartureYearLY.ConfirmedRevenueTotalExcludingFO",Sheet2!$1:$2,2,FALSE)</f>
        <v>27958830.109999999</v>
      </c>
      <c r="P27" s="5">
        <f t="shared" si="10"/>
        <v>8.4124675844675395E-2</v>
      </c>
    </row>
    <row r="28" spans="1:16" x14ac:dyDescent="0.25">
      <c r="A28" s="9" t="s">
        <v>20</v>
      </c>
      <c r="C28" s="7">
        <f>C27/C20</f>
        <v>3030.1754135338347</v>
      </c>
      <c r="D28" s="7">
        <f>D27/D20</f>
        <v>3312.5336241610739</v>
      </c>
      <c r="E28" s="5">
        <f t="shared" si="6"/>
        <v>-8.5239349290755884E-2</v>
      </c>
      <c r="F28" s="7">
        <f>F27/F20</f>
        <v>3118.135394736842</v>
      </c>
      <c r="G28" s="5">
        <f t="shared" si="7"/>
        <v>-2.8209160305058156E-2</v>
      </c>
      <c r="H28" s="7">
        <f>H27/H20</f>
        <v>3160.3010989010991</v>
      </c>
      <c r="I28" s="7">
        <f>I27/I20</f>
        <v>3153.1687330316745</v>
      </c>
      <c r="J28" s="5">
        <f t="shared" si="8"/>
        <v>2.2619677135282974E-3</v>
      </c>
      <c r="K28" s="7">
        <f>K27/K20</f>
        <v>4364.4766163678323</v>
      </c>
      <c r="L28" s="7">
        <f>L27/L20</f>
        <v>4194.9415474452553</v>
      </c>
      <c r="M28" s="5">
        <f t="shared" si="9"/>
        <v>4.041416715945062E-2</v>
      </c>
      <c r="N28" s="7">
        <f>N27/N20</f>
        <v>4466.0170369824809</v>
      </c>
      <c r="O28" s="7">
        <f>O27/O20</f>
        <v>4343.4565962404849</v>
      </c>
      <c r="P28" s="5">
        <f t="shared" si="10"/>
        <v>2.821725923267639E-2</v>
      </c>
    </row>
    <row r="29" spans="1:16" x14ac:dyDescent="0.25">
      <c r="C29" s="8"/>
      <c r="D29" s="8"/>
      <c r="E29" s="5"/>
      <c r="F29" s="8"/>
      <c r="G29" s="5"/>
      <c r="H29" s="8"/>
      <c r="I29" s="8"/>
      <c r="J29" s="5"/>
      <c r="K29" s="8"/>
      <c r="L29" s="8"/>
      <c r="M29" s="5"/>
      <c r="N29" s="8"/>
      <c r="O29" s="8"/>
      <c r="P29" s="5"/>
    </row>
    <row r="30" spans="1:16" x14ac:dyDescent="0.25">
      <c r="A30" s="10" t="s">
        <v>21</v>
      </c>
      <c r="C30" s="8"/>
      <c r="D30" s="8"/>
      <c r="E30" s="5"/>
      <c r="F30" s="8"/>
      <c r="G30" s="5"/>
      <c r="H30" s="8"/>
      <c r="I30" s="8"/>
      <c r="J30" s="5"/>
      <c r="K30" s="8"/>
      <c r="L30" s="8"/>
      <c r="M30" s="5"/>
      <c r="N30" s="8"/>
      <c r="O30" s="8"/>
      <c r="P30" s="5"/>
    </row>
    <row r="31" spans="1:16" x14ac:dyDescent="0.25">
      <c r="A31" s="9" t="s">
        <v>22</v>
      </c>
      <c r="C31" s="8">
        <f>HLOOKUP("ConfirmedTW.ConfirmedCommittedFlightSeatsCountDepartureYear",Sheet2!$1:$2,2,FALSE)</f>
        <v>177</v>
      </c>
      <c r="D31" s="8">
        <f>HLOOKUP("ConfirmedLW.ConfirmedCommittedFlightSeatsCountDepartureYear",Sheet2!$1:$2,2,FALSE)</f>
        <v>203</v>
      </c>
      <c r="E31" s="5">
        <f>IFERROR((C31-D31)/D31,0)</f>
        <v>-0.12807881773399016</v>
      </c>
      <c r="F31" s="8">
        <f>HLOOKUP("ConfirmedTWLY.ConfirmedCommittedFlightSeatsCountDepartureYear",Sheet2!$1:$2,2,FALSE)</f>
        <v>52</v>
      </c>
      <c r="G31" s="5">
        <f>IFERROR((C31-F31)/F31,0)</f>
        <v>2.4038461538461537</v>
      </c>
      <c r="H31" s="8">
        <f>HLOOKUP("ConfirmedTM.ConfirmedCommittedFlightSeatsCountDepartureYear",Sheet2!$1:$2,2,FALSE)</f>
        <v>462</v>
      </c>
      <c r="I31" s="8">
        <f>HLOOKUP("ConfirmedTMLY.ConfirmedCommittedFlightSeatsCountDepartureYear",Sheet2!$1:$2,2,FALSE)</f>
        <v>157</v>
      </c>
      <c r="J31" s="5">
        <f>IFERROR((H31-I31)/I31,0)</f>
        <v>1.9426751592356688</v>
      </c>
      <c r="K31" s="8">
        <f>HLOOKUP("ConfirmedTY.ConfirmedCommittedFlightSeatsCountDepartureYear",Sheet2!$1:$2,2,FALSE)</f>
        <v>8733</v>
      </c>
      <c r="L31" s="8">
        <f>HLOOKUP("ConfirmedLY.ConfirmedCommittedFlightSeatsCountDepartureYear",Sheet2!$1:$2,2,FALSE)</f>
        <v>6694</v>
      </c>
      <c r="M31" s="5">
        <f>IFERROR((K31-L31)/L31,0)</f>
        <v>0.30460113534508515</v>
      </c>
      <c r="N31" s="8">
        <f>HLOOKUP("DepartureYearTY.ConfirmedCommittedFlightSeatsCount",Sheet2!$1:$2,2,FALSE)</f>
        <v>10496</v>
      </c>
      <c r="O31" s="8">
        <f>HLOOKUP("DepartureYearLY.ConfirmedCommittedFlightSeatsCount",Sheet2!$1:$2,2,FALSE)</f>
        <v>8242</v>
      </c>
      <c r="P31" s="5">
        <f>IFERROR((N31-O31)/O31,0)</f>
        <v>0.27347731133220093</v>
      </c>
    </row>
    <row r="32" spans="1:16" x14ac:dyDescent="0.25">
      <c r="A32" s="9" t="s">
        <v>23</v>
      </c>
      <c r="C32" s="8">
        <f>HLOOKUP("ConfirmedTW.ConfirmedAdHocFlightSeatsCountDepartureYear",Sheet2!$1:$2,2,FALSE)</f>
        <v>130</v>
      </c>
      <c r="D32" s="8">
        <f>HLOOKUP("ConfirmedLW.ConfirmedAdHocFlightSeatsCountDepartureYear",Sheet2!$1:$2,2,FALSE)</f>
        <v>163</v>
      </c>
      <c r="E32" s="5">
        <f>IFERROR((C32-D32)/D32,0)</f>
        <v>-0.20245398773006135</v>
      </c>
      <c r="F32" s="8">
        <f>HLOOKUP("ConfirmedTWLY.ConfirmedAdHocFlightSeatsCountDepartureYear",Sheet2!$1:$2,2,FALSE)</f>
        <v>129</v>
      </c>
      <c r="G32" s="5">
        <f>IFERROR((C32-F32)/F32,0)</f>
        <v>7.7519379844961239E-3</v>
      </c>
      <c r="H32" s="8">
        <f>HLOOKUP("ConfirmedTM.ConfirmedAdHocFlightSeatsCountDepartureYear",Sheet2!$1:$2,2,FALSE)</f>
        <v>376</v>
      </c>
      <c r="I32" s="8">
        <f>HLOOKUP("ConfirmedTMLY.ConfirmedAdHocFlightSeatsCountDepartureYear",Sheet2!$1:$2,2,FALSE)</f>
        <v>338</v>
      </c>
      <c r="J32" s="5">
        <f>IFERROR((H32-I32)/I32,0)</f>
        <v>0.11242603550295859</v>
      </c>
      <c r="K32" s="8">
        <f>HLOOKUP("ConfirmedTY.ConfirmedAdHocFlightSeatsCountDepartureYear",Sheet2!$1:$2,2,FALSE)</f>
        <v>4731</v>
      </c>
      <c r="L32" s="8">
        <f>HLOOKUP("ConfirmedLY.ConfirmedAdHocFlightSeatsCountDepartureYear",Sheet2!$1:$2,2,FALSE)</f>
        <v>6260</v>
      </c>
      <c r="M32" s="5">
        <f>IFERROR((K32-L32)/L32,0)</f>
        <v>-0.24424920127795527</v>
      </c>
      <c r="N32" s="8">
        <f>HLOOKUP("DepartureYearTY.ConfirmedAdHocFlightSeatsCount",Sheet2!$1:$2,2,FALSE)</f>
        <v>5820</v>
      </c>
      <c r="O32" s="8">
        <f>HLOOKUP("DepartureYearLY.ConfirmedAdHocFlightSeatsCount",Sheet2!$1:$2,2,FALSE)</f>
        <v>7037</v>
      </c>
      <c r="P32" s="5">
        <f>IFERROR((N32-O32)/O32,0)</f>
        <v>-0.17294301548955521</v>
      </c>
    </row>
    <row r="33" spans="1:16" x14ac:dyDescent="0.25">
      <c r="A33" s="9" t="s">
        <v>24</v>
      </c>
      <c r="C33" s="5">
        <f>IFERROR(C31/SUM(C31:C32),0)</f>
        <v>0.57654723127035834</v>
      </c>
      <c r="D33" s="5">
        <f>IFERROR(D31/SUM(D31:D32),0)</f>
        <v>0.55464480874316935</v>
      </c>
      <c r="E33" s="5">
        <f>IFERROR((C33-D33)/D33,0)</f>
        <v>3.9489096773158483E-2</v>
      </c>
      <c r="F33" s="5">
        <f>IFERROR(F31/SUM(F31:F32),0)</f>
        <v>0.287292817679558</v>
      </c>
      <c r="G33" s="5">
        <f>IFERROR((C33-F33)/F33,0)</f>
        <v>1.0068278626910552</v>
      </c>
      <c r="H33" s="5">
        <f>IFERROR(H31/SUM(H31:H32),0)</f>
        <v>0.55131264916467781</v>
      </c>
      <c r="I33" s="5">
        <f>IFERROR(I31/SUM(I31:I32),0)</f>
        <v>0.31717171717171716</v>
      </c>
      <c r="J33" s="5">
        <f>IFERROR((H33-I33)/I33,0)</f>
        <v>0.73821504035997154</v>
      </c>
      <c r="K33" s="5">
        <f>IFERROR(K31/SUM(K31:K32),0)</f>
        <v>0.64861853832442062</v>
      </c>
      <c r="L33" s="5">
        <f>IFERROR(L31/SUM(L31:L32),0)</f>
        <v>0.51675158252277287</v>
      </c>
      <c r="M33" s="5">
        <f>IFERROR((K33-L33)/L33,0)</f>
        <v>0.25518442567292277</v>
      </c>
      <c r="N33" s="5">
        <f>IFERROR(N31/SUM(N31:N32),0)</f>
        <v>0.64329492522677123</v>
      </c>
      <c r="O33" s="5">
        <f>IFERROR(O31/SUM(O31:O32),0)</f>
        <v>0.53943320897964531</v>
      </c>
      <c r="P33" s="5">
        <f>IFERROR((N33-O33)/O33,0)</f>
        <v>0.19253860258915759</v>
      </c>
    </row>
    <row r="34" spans="1:16" x14ac:dyDescent="0.25"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</row>
    <row r="35" spans="1:16" x14ac:dyDescent="0.25">
      <c r="A35" s="10" t="s">
        <v>54</v>
      </c>
      <c r="C35" s="8"/>
      <c r="D35" s="8"/>
      <c r="E35" s="5"/>
      <c r="F35" s="8"/>
      <c r="G35" s="5"/>
      <c r="H35" s="8"/>
      <c r="I35" s="8"/>
      <c r="J35" s="5"/>
      <c r="K35" s="8"/>
      <c r="L35" s="8"/>
      <c r="M35" s="5"/>
      <c r="N35" s="8"/>
      <c r="O35" s="8"/>
      <c r="P35" s="5"/>
    </row>
    <row r="36" spans="1:16" x14ac:dyDescent="0.25">
      <c r="A36" s="11" t="s">
        <v>25</v>
      </c>
      <c r="C36" s="8"/>
      <c r="D36" s="8"/>
      <c r="E36" s="5"/>
      <c r="F36" s="8"/>
      <c r="G36" s="5"/>
      <c r="H36" s="8"/>
      <c r="I36" s="8"/>
      <c r="J36" s="5"/>
      <c r="K36" s="8"/>
      <c r="L36" s="8"/>
      <c r="M36" s="5"/>
      <c r="N36" s="8"/>
      <c r="O36" s="8"/>
      <c r="P36" s="5"/>
    </row>
    <row r="37" spans="1:16" x14ac:dyDescent="0.25">
      <c r="A37" s="1" t="s">
        <v>26</v>
      </c>
      <c r="C37" s="8">
        <f>HLOOKUP("ConfirmedTW.ConfirmedBookingPastClientExcludingFODepartureYear",Sheet2!$1:$2,2,FALSE)</f>
        <v>46</v>
      </c>
      <c r="D37" s="8">
        <f>HLOOKUP("ConfirmedLW.ConfirmedBookingPastClientExcludingFODepartureYear",Sheet2!$1:$2,2,FALSE)</f>
        <v>59</v>
      </c>
      <c r="E37" s="5">
        <f>IFERROR((C37-D37)/D37,0)</f>
        <v>-0.22033898305084745</v>
      </c>
      <c r="F37" s="8">
        <f>HLOOKUP("ConfirmedTWLY.ConfirmedBookingPastClientExcludingFODepartureYear",Sheet2!$1:$2,2,FALSE)</f>
        <v>28</v>
      </c>
      <c r="G37" s="5">
        <f>IFERROR((C37-F37)/F37,0)</f>
        <v>0.6428571428571429</v>
      </c>
      <c r="H37" s="8">
        <f>HLOOKUP("ConfirmedTM.ConfirmedBookingPastClientExcludingFODepartureYear",Sheet2!$1:$2,2,FALSE)</f>
        <v>136</v>
      </c>
      <c r="I37" s="8">
        <f>HLOOKUP("ConfirmedTMLY.ConfirmedBookingPastClientExcludingFODepartureYear",Sheet2!$1:$2,2,FALSE)</f>
        <v>81</v>
      </c>
      <c r="J37" s="5">
        <f>IFERROR((H37-I37)/I37,0)</f>
        <v>0.67901234567901236</v>
      </c>
      <c r="K37" s="8">
        <f>HLOOKUP("ConfirmedTY.ConfirmedBookingPastClientExcludingFODepartureYear",Sheet2!$1:$2,2,FALSE)</f>
        <v>2453</v>
      </c>
      <c r="L37" s="8">
        <f>HLOOKUP("ConfirmedLY.ConfirmedBookingPastClientExcludingFODepartureYear",Sheet2!$1:$2,2,FALSE)</f>
        <v>2175</v>
      </c>
      <c r="M37" s="5">
        <f>IFERROR((K37-L37)/L37,0)</f>
        <v>0.12781609195402299</v>
      </c>
      <c r="N37" s="8">
        <f>HLOOKUP("DepartureYearTY.ConfirmedBookingPastClientExcludingFO",Sheet2!$1:$2,2,FALSE)</f>
        <v>3226</v>
      </c>
      <c r="O37" s="8">
        <f>HLOOKUP("DepartureYearLY.ConfirmedBookingPastClientExcludingFO",Sheet2!$1:$2,2,FALSE)</f>
        <v>2818</v>
      </c>
      <c r="P37" s="5">
        <f>IFERROR((N37-O37)/O37,0)</f>
        <v>0.1447835344215756</v>
      </c>
    </row>
    <row r="38" spans="1:16" x14ac:dyDescent="0.25">
      <c r="A38" s="1" t="s">
        <v>27</v>
      </c>
      <c r="C38" s="8">
        <f>HLOOKUP("ConfirmedTW.ConfirmedBookingNewClientExcludingFODepartureYear",Sheet2!$1:$2,2,FALSE)</f>
        <v>79</v>
      </c>
      <c r="D38" s="8">
        <f>HLOOKUP("ConfirmedLW.ConfirmedBookingNewClientExcludingFODepartureYear",Sheet2!$1:$2,2,FALSE)</f>
        <v>83</v>
      </c>
      <c r="E38" s="5">
        <f>IFERROR((C38-D38)/D38,0)</f>
        <v>-4.8192771084337352E-2</v>
      </c>
      <c r="F38" s="8">
        <f>HLOOKUP("ConfirmedTWLY.ConfirmedBookingNewClientExcludingFODepartureYear",Sheet2!$1:$2,2,FALSE)</f>
        <v>44</v>
      </c>
      <c r="G38" s="5">
        <f>IFERROR((C38-F38)/F38,0)</f>
        <v>0.79545454545454541</v>
      </c>
      <c r="H38" s="8">
        <f>HLOOKUP("ConfirmedTM.ConfirmedBookingNewClientExcludingFODepartureYear",Sheet2!$1:$2,2,FALSE)</f>
        <v>209</v>
      </c>
      <c r="I38" s="8">
        <f>HLOOKUP("ConfirmedTMLY.ConfirmedBookingNewClientExcludingFODepartureYear",Sheet2!$1:$2,2,FALSE)</f>
        <v>128</v>
      </c>
      <c r="J38" s="5">
        <f>IFERROR((H38-I38)/I38,0)</f>
        <v>0.6328125</v>
      </c>
      <c r="K38" s="8">
        <f>HLOOKUP("ConfirmedTY.ConfirmedBookingNewClientExcludingFODepartureYear",Sheet2!$1:$2,2,FALSE)</f>
        <v>2877</v>
      </c>
      <c r="L38" s="8">
        <f>HLOOKUP("ConfirmedLY.ConfirmedBookingNewClientExcludingFODepartureYear",Sheet2!$1:$2,2,FALSE)</f>
        <v>3067</v>
      </c>
      <c r="M38" s="5">
        <f>IFERROR((K38-L38)/L38,0)</f>
        <v>-6.1949788066514508E-2</v>
      </c>
      <c r="N38" s="8">
        <f>HLOOKUP("DepartureYearTY.ConfirmedBookingNewClientExcludingFO",Sheet2!$1:$2,2,FALSE)</f>
        <v>3224</v>
      </c>
      <c r="O38" s="8">
        <f>HLOOKUP("DepartureYearLY.ConfirmedBookingNewClientExcludingFO",Sheet2!$1:$2,2,FALSE)</f>
        <v>3357</v>
      </c>
      <c r="P38" s="5">
        <f>IFERROR((N38-O38)/O38,0)</f>
        <v>-3.9618707179028892E-2</v>
      </c>
    </row>
    <row r="39" spans="1:16" x14ac:dyDescent="0.25">
      <c r="A39" s="1" t="s">
        <v>28</v>
      </c>
      <c r="C39" s="8">
        <f>HLOOKUP("ConfirmedTW.ConfirmedBookingUKAgentDepartureYear",Sheet2!$1:$2,2,FALSE)</f>
        <v>24</v>
      </c>
      <c r="D39" s="8">
        <f>HLOOKUP("ConfirmedLW.ConfirmedBookingUKAgentDepartureYear",Sheet2!$1:$2,2,FALSE)</f>
        <v>40</v>
      </c>
      <c r="E39" s="5">
        <f>IFERROR((C39-D39)/D39,0)</f>
        <v>-0.4</v>
      </c>
      <c r="F39" s="8">
        <f>HLOOKUP("ConfirmedTWLY.ConfirmedBookingUKAgentDepartureYear",Sheet2!$1:$2,2,FALSE)</f>
        <v>7</v>
      </c>
      <c r="G39" s="5">
        <f>IFERROR((C39-F39)/F39,0)</f>
        <v>2.4285714285714284</v>
      </c>
      <c r="H39" s="8">
        <f>HLOOKUP("ConfirmedTM.ConfirmedBookingUKAgentDepartureYear",Sheet2!$1:$2,2,FALSE)</f>
        <v>73</v>
      </c>
      <c r="I39" s="8">
        <f>HLOOKUP("ConfirmedTMLY.ConfirmedBookingUKAgentDepartureYear",Sheet2!$1:$2,2,FALSE)</f>
        <v>19</v>
      </c>
      <c r="J39" s="5">
        <f>IFERROR((H39-I39)/I39,0)</f>
        <v>2.8421052631578947</v>
      </c>
      <c r="K39" s="8">
        <f>HLOOKUP("ConfirmedTY.ConfirmedBookingUKAgentDepartureYear",Sheet2!$1:$2,2,FALSE)</f>
        <v>671</v>
      </c>
      <c r="L39" s="8">
        <f>HLOOKUP("ConfirmedLY.ConfirmedBookingUKAgentDepartureYear",Sheet2!$1:$2,2,FALSE)</f>
        <v>242</v>
      </c>
      <c r="M39" s="5">
        <f>IFERROR((K39-L39)/L39,0)</f>
        <v>1.7727272727272727</v>
      </c>
      <c r="N39" s="8">
        <f>HLOOKUP("DepartureYearTY.ConfirmedBookingUKAgent",Sheet2!$1:$2,2,FALSE)</f>
        <v>702</v>
      </c>
      <c r="O39" s="8">
        <f>HLOOKUP("DepartureYearLY.ConfirmedBookingUKAgent",Sheet2!$1:$2,2,FALSE)</f>
        <v>268</v>
      </c>
      <c r="P39" s="5">
        <f>IFERROR((N39-O39)/O39,0)</f>
        <v>1.6194029850746268</v>
      </c>
    </row>
    <row r="40" spans="1:16" x14ac:dyDescent="0.25">
      <c r="A40" s="1" t="s">
        <v>29</v>
      </c>
      <c r="C40" s="8">
        <f>HLOOKUP("ConfirmedTW.ConfirmedBookingOverseasAgentDepartureYear",Sheet2!$1:$2,2,FALSE)</f>
        <v>0</v>
      </c>
      <c r="D40" s="8">
        <f>HLOOKUP("ConfirmedLW.ConfirmedBookingOverseasAgentDepartureYear",Sheet2!$1:$2,2,FALSE)</f>
        <v>0</v>
      </c>
      <c r="E40" s="5">
        <f>IFERROR((C40-D40)/D40,0)</f>
        <v>0</v>
      </c>
      <c r="F40" s="8">
        <f>HLOOKUP("ConfirmedTWLY.ConfirmedBookingOverseasAgentDepartureYear",Sheet2!$1:$2,2,FALSE)</f>
        <v>0</v>
      </c>
      <c r="G40" s="5">
        <f>IFERROR((C40-F40)/F40,0)</f>
        <v>0</v>
      </c>
      <c r="H40" s="8">
        <f>HLOOKUP("ConfirmedTM.ConfirmedBookingOverseasAgentDepartureYear",Sheet2!$1:$2,2,FALSE)</f>
        <v>0</v>
      </c>
      <c r="I40" s="8">
        <f>HLOOKUP("ConfirmedTMLY.ConfirmedBookingOverseasAgentDepartureYear",Sheet2!$1:$2,2,FALSE)</f>
        <v>1</v>
      </c>
      <c r="J40" s="5">
        <f>IFERROR((H40-I40)/I40,0)</f>
        <v>-1</v>
      </c>
      <c r="K40" s="8">
        <f>HLOOKUP("ConfirmedTY.ConfirmedBookingOverseasAgentDepartureYear",Sheet2!$1:$2,2,FALSE)</f>
        <v>38</v>
      </c>
      <c r="L40" s="8">
        <f>HLOOKUP("ConfirmedLY.ConfirmedBookingOverseasAgentDepartureYear",Sheet2!$1:$2,2,FALSE)</f>
        <v>44</v>
      </c>
      <c r="M40" s="5">
        <f>IFERROR((K40-L40)/L40,0)</f>
        <v>-0.13636363636363635</v>
      </c>
      <c r="N40" s="8">
        <f>HLOOKUP("DepartureYearTY.ConfirmedBookingOverseasAgent",Sheet2!$1:$2,2,FALSE)</f>
        <v>42</v>
      </c>
      <c r="O40" s="8">
        <f>HLOOKUP("DepartureYearLY.ConfirmedBookingOverseasAgent",Sheet2!$1:$2,2,FALSE)</f>
        <v>44</v>
      </c>
      <c r="P40" s="5">
        <f>IFERROR((N40-O40)/O40,0)</f>
        <v>-4.5454545454545456E-2</v>
      </c>
    </row>
    <row r="41" spans="1:16" x14ac:dyDescent="0.25">
      <c r="A41" s="1" t="s">
        <v>15</v>
      </c>
      <c r="C41" s="8">
        <f>HLOOKUP("ConfirmedTW.ConfirmedBookingWebsiteExcludingFODepartureYear",Sheet2!$1:$2,2,FALSE)</f>
        <v>9</v>
      </c>
      <c r="D41" s="8">
        <f>HLOOKUP("ConfirmedLW.ConfirmedBookingWebsiteExcludingFODepartureYear",Sheet2!$1:$2,2,FALSE)</f>
        <v>17</v>
      </c>
      <c r="E41" s="5">
        <f>IFERROR((C41-D41)/D41,0)</f>
        <v>-0.47058823529411764</v>
      </c>
      <c r="F41" s="8">
        <f>HLOOKUP("ConfirmedTWLY.ConfirmedBookingWebsiteExcludingFODepartureYear",Sheet2!$1:$2,2,FALSE)</f>
        <v>9</v>
      </c>
      <c r="G41" s="5">
        <f>IFERROR((C41-F41)/F41,0)</f>
        <v>0</v>
      </c>
      <c r="H41" s="8">
        <f>HLOOKUP("ConfirmedTM.ConfirmedBookingWebsiteExcludingFODepartureYear",Sheet2!$1:$2,2,FALSE)</f>
        <v>35</v>
      </c>
      <c r="I41" s="8">
        <f>HLOOKUP("ConfirmedTMLY.ConfirmedBookingWebsiteExcludingFODepartureYear",Sheet2!$1:$2,2,FALSE)</f>
        <v>25</v>
      </c>
      <c r="J41" s="5">
        <f>IFERROR((H41-I41)/I41,0)</f>
        <v>0.4</v>
      </c>
      <c r="K41" s="8">
        <f>HLOOKUP("ConfirmedTY.ConfirmedBookingWebsiteExcludingFODepartureYear",Sheet2!$1:$2,2,FALSE)</f>
        <v>877</v>
      </c>
      <c r="L41" s="8">
        <f>HLOOKUP("ConfirmedLY.ConfirmedBookingWebsiteExcludingFODepartureYear",Sheet2!$1:$2,2,FALSE)</f>
        <v>936</v>
      </c>
      <c r="M41" s="5">
        <f>IFERROR((K41-L41)/L41,0)</f>
        <v>-6.3034188034188032E-2</v>
      </c>
      <c r="N41" s="8">
        <f>HLOOKUP("DepartureYearTY.ConfirmedBookingWebsiteExcludingFO",Sheet2!$1:$2,2,FALSE)</f>
        <v>985</v>
      </c>
      <c r="O41" s="8">
        <f>HLOOKUP("DepartureYearLY.ConfirmedBookingWebsiteExcludingFO",Sheet2!$1:$2,2,FALSE)</f>
        <v>1035</v>
      </c>
      <c r="P41" s="5">
        <f>IFERROR((N41-O41)/O41,0)</f>
        <v>-4.8309178743961352E-2</v>
      </c>
    </row>
    <row r="42" spans="1:16" x14ac:dyDescent="0.25">
      <c r="A42" s="11" t="s">
        <v>30</v>
      </c>
      <c r="C42" s="8"/>
      <c r="D42" s="8"/>
      <c r="E42" s="5"/>
      <c r="F42" s="8"/>
      <c r="G42" s="5"/>
      <c r="H42" s="8"/>
      <c r="I42" s="8"/>
      <c r="J42" s="5"/>
      <c r="K42" s="8"/>
      <c r="L42" s="8"/>
      <c r="M42" s="5"/>
      <c r="N42" s="8"/>
      <c r="O42" s="8"/>
      <c r="P42" s="5"/>
    </row>
    <row r="43" spans="1:16" x14ac:dyDescent="0.25">
      <c r="A43" s="1" t="s">
        <v>31</v>
      </c>
      <c r="C43" s="8">
        <f>HLOOKUP("ConfirmedTW.ConfirmedBookingPreschoolSegmentExcludingFODepartureYear",Sheet2!$1:$2,2,FALSE)</f>
        <v>17</v>
      </c>
      <c r="D43" s="8">
        <f>HLOOKUP("ConfirmedLW.ConfirmedBookingPreschoolSegmentExcludingFODepartureYear",Sheet2!$1:$2,2,FALSE)</f>
        <v>24</v>
      </c>
      <c r="E43" s="5">
        <f t="shared" ref="E43:E49" si="11">IFERROR((C43-D43)/D43,0)</f>
        <v>-0.29166666666666669</v>
      </c>
      <c r="F43" s="8">
        <f>HLOOKUP("ConfirmedTWLY.ConfirmedBookingPreschoolSegmentExcludingFODepartureYear",Sheet2!$1:$2,2,FALSE)</f>
        <v>9</v>
      </c>
      <c r="G43" s="5">
        <f t="shared" ref="G43:G49" si="12">IFERROR((C43-F43)/F43,0)</f>
        <v>0.88888888888888884</v>
      </c>
      <c r="H43" s="8">
        <f>HLOOKUP("ConfirmedTM.ConfirmedBookingPreschoolSegmentExcludingFODepartureYear",Sheet2!$1:$2,2,FALSE)</f>
        <v>50</v>
      </c>
      <c r="I43" s="8">
        <f>HLOOKUP("ConfirmedTMLY.ConfirmedBookingPreschoolSegmentExcludingFODepartureYear",Sheet2!$1:$2,2,FALSE)</f>
        <v>30</v>
      </c>
      <c r="J43" s="5">
        <f t="shared" ref="J43:J49" si="13">IFERROR((H43-I43)/I43,0)</f>
        <v>0.66666666666666663</v>
      </c>
      <c r="K43" s="8">
        <f>HLOOKUP("ConfirmedTY.ConfirmedBookingPreschoolSegmentExcludingFODepartureYear",Sheet2!$1:$2,2,FALSE)</f>
        <v>777</v>
      </c>
      <c r="L43" s="8">
        <f>HLOOKUP("ConfirmedLY.ConfirmedBookingPreschoolSegmentExcludingFODepartureYear",Sheet2!$1:$2,2,FALSE)</f>
        <v>761</v>
      </c>
      <c r="M43" s="5">
        <f t="shared" ref="M43:M49" si="14">IFERROR((K43-L43)/L43,0)</f>
        <v>2.1024967148488831E-2</v>
      </c>
      <c r="N43" s="8">
        <f>HLOOKUP("DepartureYearTY.ConfirmedBookingPreschoolSegmentExcludingFO",Sheet2!$1:$2,2,FALSE)</f>
        <v>885</v>
      </c>
      <c r="O43" s="8">
        <f>HLOOKUP("DepartureYearLY.ConfirmedBookingPreschoolSegmentExcludingFO",Sheet2!$1:$2,2,FALSE)</f>
        <v>857</v>
      </c>
      <c r="P43" s="5">
        <f t="shared" ref="P43:P49" si="15">IFERROR((N43-O43)/O43,0)</f>
        <v>3.2672112018669777E-2</v>
      </c>
    </row>
    <row r="44" spans="1:16" x14ac:dyDescent="0.25">
      <c r="A44" s="1" t="s">
        <v>32</v>
      </c>
      <c r="C44" s="8">
        <f>HLOOKUP("ConfirmedTW.ConfirmedBookingYoungFamilySegmentExcludingFODepartureYear",Sheet2!$1:$2,2,FALSE)</f>
        <v>15</v>
      </c>
      <c r="D44" s="8">
        <f>HLOOKUP("ConfirmedLW.ConfirmedBookingYoungFamilySegmentExcludingFODepartureYear",Sheet2!$1:$2,2,FALSE)</f>
        <v>14</v>
      </c>
      <c r="E44" s="5">
        <f t="shared" si="11"/>
        <v>7.1428571428571425E-2</v>
      </c>
      <c r="F44" s="8">
        <f>HLOOKUP("ConfirmedTWLY.ConfirmedBookingYoungFamilySegmentExcludingFODepartureYear",Sheet2!$1:$2,2,FALSE)</f>
        <v>11</v>
      </c>
      <c r="G44" s="5">
        <f t="shared" si="12"/>
        <v>0.36363636363636365</v>
      </c>
      <c r="H44" s="8">
        <f>HLOOKUP("ConfirmedTM.ConfirmedBookingYoungFamilySegmentExcludingFODepartureYear",Sheet2!$1:$2,2,FALSE)</f>
        <v>37</v>
      </c>
      <c r="I44" s="8">
        <f>HLOOKUP("ConfirmedTMLY.ConfirmedBookingYoungFamilySegmentExcludingFODepartureYear",Sheet2!$1:$2,2,FALSE)</f>
        <v>17</v>
      </c>
      <c r="J44" s="5">
        <f t="shared" si="13"/>
        <v>1.1764705882352942</v>
      </c>
      <c r="K44" s="8">
        <f>HLOOKUP("ConfirmedTY.ConfirmedBookingYoungFamilySegmentExcludingFODepartureYear",Sheet2!$1:$2,2,FALSE)</f>
        <v>574</v>
      </c>
      <c r="L44" s="8">
        <f>HLOOKUP("ConfirmedLY.ConfirmedBookingYoungFamilySegmentExcludingFODepartureYear",Sheet2!$1:$2,2,FALSE)</f>
        <v>546</v>
      </c>
      <c r="M44" s="5">
        <f t="shared" si="14"/>
        <v>5.128205128205128E-2</v>
      </c>
      <c r="N44" s="8">
        <f>HLOOKUP("DepartureYearTY.ConfirmedBookingYoungFamilySegmentExcludingFO",Sheet2!$1:$2,2,FALSE)</f>
        <v>680</v>
      </c>
      <c r="O44" s="8">
        <f>HLOOKUP("DepartureYearLY.ConfirmedBookingYoungFamilySegmentExcludingFO",Sheet2!$1:$2,2,FALSE)</f>
        <v>631</v>
      </c>
      <c r="P44" s="5">
        <f t="shared" si="15"/>
        <v>7.7654516640253565E-2</v>
      </c>
    </row>
    <row r="45" spans="1:16" x14ac:dyDescent="0.25">
      <c r="A45" s="1" t="s">
        <v>33</v>
      </c>
      <c r="C45" s="8">
        <f>HLOOKUP("ConfirmedTW.ConfirmedBookingOlderFamilySegmentExcludingFODepartureYear",Sheet2!$1:$2,2,FALSE)</f>
        <v>8</v>
      </c>
      <c r="D45" s="8">
        <f>HLOOKUP("ConfirmedLW.ConfirmedBookingOlderFamilySegmentExcludingFODepartureYear",Sheet2!$1:$2,2,FALSE)</f>
        <v>13</v>
      </c>
      <c r="E45" s="5">
        <f t="shared" si="11"/>
        <v>-0.38461538461538464</v>
      </c>
      <c r="F45" s="8">
        <f>HLOOKUP("ConfirmedTWLY.ConfirmedBookingOlderFamilySegmentExcludingFODepartureYear",Sheet2!$1:$2,2,FALSE)</f>
        <v>9</v>
      </c>
      <c r="G45" s="5">
        <f t="shared" si="12"/>
        <v>-0.1111111111111111</v>
      </c>
      <c r="H45" s="8">
        <f>HLOOKUP("ConfirmedTM.ConfirmedBookingOlderFamilySegmentExcludingFODepartureYear",Sheet2!$1:$2,2,FALSE)</f>
        <v>26</v>
      </c>
      <c r="I45" s="8">
        <f>HLOOKUP("ConfirmedTMLY.ConfirmedBookingOlderFamilySegmentExcludingFODepartureYear",Sheet2!$1:$2,2,FALSE)</f>
        <v>23</v>
      </c>
      <c r="J45" s="5">
        <f t="shared" si="13"/>
        <v>0.13043478260869565</v>
      </c>
      <c r="K45" s="8">
        <f>HLOOKUP("ConfirmedTY.ConfirmedBookingOlderFamilySegmentExcludingFODepartureYear",Sheet2!$1:$2,2,FALSE)</f>
        <v>650</v>
      </c>
      <c r="L45" s="8">
        <f>HLOOKUP("ConfirmedLY.ConfirmedBookingOlderFamilySegmentExcludingFODepartureYear",Sheet2!$1:$2,2,FALSE)</f>
        <v>563</v>
      </c>
      <c r="M45" s="5">
        <f t="shared" si="14"/>
        <v>0.15452930728241562</v>
      </c>
      <c r="N45" s="8">
        <f>HLOOKUP("DepartureYearTY.ConfirmedBookingOlderFamilySegmentExcludingFO",Sheet2!$1:$2,2,FALSE)</f>
        <v>722</v>
      </c>
      <c r="O45" s="8">
        <f>HLOOKUP("DepartureYearLY.ConfirmedBookingOlderFamilySegmentExcludingFO",Sheet2!$1:$2,2,FALSE)</f>
        <v>628</v>
      </c>
      <c r="P45" s="5">
        <f t="shared" si="15"/>
        <v>0.14968152866242038</v>
      </c>
    </row>
    <row r="46" spans="1:16" x14ac:dyDescent="0.25">
      <c r="A46" s="1" t="s">
        <v>34</v>
      </c>
      <c r="C46" s="8">
        <f>HLOOKUP("ConfirmedTW.ConfirmedBookingYoungCoupleSegmentExcludingFODepartureYear",Sheet2!$1:$2,2,FALSE)</f>
        <v>11</v>
      </c>
      <c r="D46" s="8">
        <f>HLOOKUP("ConfirmedLW.ConfirmedBookingYoungCoupleSegmentExcludingFODepartureYear",Sheet2!$1:$2,2,FALSE)</f>
        <v>11</v>
      </c>
      <c r="E46" s="5">
        <f t="shared" si="11"/>
        <v>0</v>
      </c>
      <c r="F46" s="8">
        <f>HLOOKUP("ConfirmedTWLY.ConfirmedBookingYoungCoupleSegmentExcludingFODepartureYear",Sheet2!$1:$2,2,FALSE)</f>
        <v>3</v>
      </c>
      <c r="G46" s="5">
        <f t="shared" si="12"/>
        <v>2.6666666666666665</v>
      </c>
      <c r="H46" s="8">
        <f>HLOOKUP("ConfirmedTM.ConfirmedBookingYoungCoupleSegmentExcludingFODepartureYear",Sheet2!$1:$2,2,FALSE)</f>
        <v>35</v>
      </c>
      <c r="I46" s="8">
        <f>HLOOKUP("ConfirmedTMLY.ConfirmedBookingYoungCoupleSegmentExcludingFODepartureYear",Sheet2!$1:$2,2,FALSE)</f>
        <v>13</v>
      </c>
      <c r="J46" s="5">
        <f t="shared" si="13"/>
        <v>1.6923076923076923</v>
      </c>
      <c r="K46" s="8">
        <f>HLOOKUP("ConfirmedTY.ConfirmedBookingYoungCoupleSegmentExcludingFODepartureYear",Sheet2!$1:$2,2,FALSE)</f>
        <v>284</v>
      </c>
      <c r="L46" s="8">
        <f>HLOOKUP("ConfirmedLY.ConfirmedBookingYoungCoupleSegmentExcludingFODepartureYear",Sheet2!$1:$2,2,FALSE)</f>
        <v>357</v>
      </c>
      <c r="M46" s="5">
        <f t="shared" si="14"/>
        <v>-0.20448179271708683</v>
      </c>
      <c r="N46" s="8">
        <f>HLOOKUP("DepartureYearTY.ConfirmedBookingYoungCoupleSegmentExcludingFO",Sheet2!$1:$2,2,FALSE)</f>
        <v>314</v>
      </c>
      <c r="O46" s="8">
        <f>HLOOKUP("DepartureYearLY.ConfirmedBookingYoungCoupleSegmentExcludingFO",Sheet2!$1:$2,2,FALSE)</f>
        <v>385</v>
      </c>
      <c r="P46" s="5">
        <f t="shared" si="15"/>
        <v>-0.18441558441558442</v>
      </c>
    </row>
    <row r="47" spans="1:16" x14ac:dyDescent="0.25">
      <c r="A47" s="1" t="s">
        <v>35</v>
      </c>
      <c r="C47" s="8">
        <f>HLOOKUP("ConfirmedTW.ConfirmedBookingOlderCoupleSegmentExcludingFODepartureYear",Sheet2!$1:$2,2,FALSE)</f>
        <v>71</v>
      </c>
      <c r="D47" s="8">
        <f>HLOOKUP("ConfirmedLW.ConfirmedBookingOlderCoupleSegmentExcludingFODepartureYear",Sheet2!$1:$2,2,FALSE)</f>
        <v>72</v>
      </c>
      <c r="E47" s="5">
        <f t="shared" si="11"/>
        <v>-1.3888888888888888E-2</v>
      </c>
      <c r="F47" s="8">
        <f>HLOOKUP("ConfirmedTWLY.ConfirmedBookingOlderCoupleSegmentExcludingFODepartureYear",Sheet2!$1:$2,2,FALSE)</f>
        <v>37</v>
      </c>
      <c r="G47" s="5">
        <f t="shared" si="12"/>
        <v>0.91891891891891897</v>
      </c>
      <c r="H47" s="8">
        <f>HLOOKUP("ConfirmedTM.ConfirmedBookingOlderCoupleSegmentExcludingFODepartureYear",Sheet2!$1:$2,2,FALSE)</f>
        <v>179</v>
      </c>
      <c r="I47" s="8">
        <f>HLOOKUP("ConfirmedTMLY.ConfirmedBookingOlderCoupleSegmentExcludingFODepartureYear",Sheet2!$1:$2,2,FALSE)</f>
        <v>111</v>
      </c>
      <c r="J47" s="5">
        <f t="shared" si="13"/>
        <v>0.61261261261261257</v>
      </c>
      <c r="K47" s="8">
        <f>HLOOKUP("ConfirmedTY.ConfirmedBookingOlderCoupleSegmentExcludingFODepartureYear",Sheet2!$1:$2,2,FALSE)</f>
        <v>2362</v>
      </c>
      <c r="L47" s="8">
        <f>HLOOKUP("ConfirmedLY.ConfirmedBookingOlderCoupleSegmentExcludingFODepartureYear",Sheet2!$1:$2,2,FALSE)</f>
        <v>2351</v>
      </c>
      <c r="M47" s="5">
        <f t="shared" si="14"/>
        <v>4.6788600595491277E-3</v>
      </c>
      <c r="N47" s="8">
        <f>HLOOKUP("DepartureYearTY.ConfirmedBookingOlderCoupleSegmentExcludingFO",Sheet2!$1:$2,2,FALSE)</f>
        <v>2986</v>
      </c>
      <c r="O47" s="8">
        <f>HLOOKUP("DepartureYearLY.ConfirmedBookingOlderCoupleSegmentExcludingFO",Sheet2!$1:$2,2,FALSE)</f>
        <v>2846</v>
      </c>
      <c r="P47" s="5">
        <f t="shared" si="15"/>
        <v>4.9191848208011243E-2</v>
      </c>
    </row>
    <row r="48" spans="1:16" x14ac:dyDescent="0.25">
      <c r="A48" s="1" t="s">
        <v>36</v>
      </c>
      <c r="C48" s="8">
        <f>HLOOKUP("ConfirmedTW.ConfirmedBookingAdultGroupSegmentExcludingFODepartureYear",Sheet2!$1:$2,2,FALSE)</f>
        <v>10</v>
      </c>
      <c r="D48" s="8">
        <f>HLOOKUP("ConfirmedLW.ConfirmedBookingAdultGroupSegmentExcludingFODepartureYear",Sheet2!$1:$2,2,FALSE)</f>
        <v>14</v>
      </c>
      <c r="E48" s="5">
        <f t="shared" si="11"/>
        <v>-0.2857142857142857</v>
      </c>
      <c r="F48" s="8">
        <f>HLOOKUP("ConfirmedTWLY.ConfirmedBookingAdultGroupSegmentExcludingFODepartureYear",Sheet2!$1:$2,2,FALSE)</f>
        <v>7</v>
      </c>
      <c r="G48" s="5">
        <f t="shared" si="12"/>
        <v>0.42857142857142855</v>
      </c>
      <c r="H48" s="8">
        <f>HLOOKUP("ConfirmedTM.ConfirmedBookingAdultGroupSegmentExcludingFODepartureYear",Sheet2!$1:$2,2,FALSE)</f>
        <v>35</v>
      </c>
      <c r="I48" s="8">
        <f>HLOOKUP("ConfirmedTMLY.ConfirmedBookingAdultGroupSegmentExcludingFODepartureYear",Sheet2!$1:$2,2,FALSE)</f>
        <v>25</v>
      </c>
      <c r="J48" s="5">
        <f t="shared" si="13"/>
        <v>0.4</v>
      </c>
      <c r="K48" s="8">
        <f>HLOOKUP("ConfirmedTY.ConfirmedBookingAdultGroupSegmentExcludingFODepartureYear",Sheet2!$1:$2,2,FALSE)</f>
        <v>933</v>
      </c>
      <c r="L48" s="8">
        <f>HLOOKUP("ConfirmedLY.ConfirmedBookingAdultGroupSegmentExcludingFODepartureYear",Sheet2!$1:$2,2,FALSE)</f>
        <v>866</v>
      </c>
      <c r="M48" s="5">
        <f t="shared" si="14"/>
        <v>7.7367205542725179E-2</v>
      </c>
      <c r="N48" s="8">
        <f>HLOOKUP("DepartureYearTY.ConfirmedBookingAdultGroupSegmentExcludingFO",Sheet2!$1:$2,2,FALSE)</f>
        <v>1136</v>
      </c>
      <c r="O48" s="8">
        <f>HLOOKUP("DepartureYearLY.ConfirmedBookingAdultGroupSegmentExcludingFO",Sheet2!$1:$2,2,FALSE)</f>
        <v>1051</v>
      </c>
      <c r="P48" s="5">
        <f t="shared" si="15"/>
        <v>8.0875356803044723E-2</v>
      </c>
    </row>
    <row r="49" spans="1:16" x14ac:dyDescent="0.25">
      <c r="A49" s="1" t="s">
        <v>53</v>
      </c>
      <c r="C49" s="8">
        <f>HLOOKUP("ConfirmedTW.ConfirmedBookingOtherSegmentExcludingFODepartureYear",Sheet2!$1:$2,2,FALSE)</f>
        <v>1</v>
      </c>
      <c r="D49" s="8">
        <f>HLOOKUP("ConfirmedLW.ConfirmedBookingOtherSegmentExcludingFODepartureYear",Sheet2!$1:$2,2,FALSE)</f>
        <v>1</v>
      </c>
      <c r="E49" s="5">
        <f t="shared" si="11"/>
        <v>0</v>
      </c>
      <c r="F49" s="8">
        <f>HLOOKUP("ConfirmedTWLY.ConfirmedBookingOtherSegmentExcludingFODepartureYear",Sheet2!$1:$2,2,FALSE)</f>
        <v>0</v>
      </c>
      <c r="G49" s="5">
        <f t="shared" si="12"/>
        <v>0</v>
      </c>
      <c r="H49" s="8">
        <f>HLOOKUP("ConfirmedTM.ConfirmedBookingOtherSegmentExcludingFODepartureYear",Sheet2!$1:$2,2,FALSE)</f>
        <v>2</v>
      </c>
      <c r="I49" s="8">
        <f>HLOOKUP("ConfirmedTMLY.ConfirmedBookingOtherSegmentExcludingFODepartureYear",Sheet2!$1:$2,2,FALSE)</f>
        <v>2</v>
      </c>
      <c r="J49" s="5">
        <f t="shared" si="13"/>
        <v>0</v>
      </c>
      <c r="K49" s="8">
        <f>HLOOKUP("ConfirmedTY.ConfirmedBookingOtherSegmentExcludingFODepartureYear",Sheet2!$1:$2,2,FALSE)</f>
        <v>53</v>
      </c>
      <c r="L49" s="8">
        <f>HLOOKUP("ConfirmedLY.ConfirmedBookingOtherSegmentExcludingFODepartureYear",Sheet2!$1:$2,2,FALSE)</f>
        <v>36</v>
      </c>
      <c r="M49" s="5">
        <f t="shared" si="14"/>
        <v>0.47222222222222221</v>
      </c>
      <c r="N49" s="8">
        <f>HLOOKUP("DepartureYearTY.ConfirmedBookingOtherSegmentExcludingFO",Sheet2!$1:$2,2,FALSE)</f>
        <v>64</v>
      </c>
      <c r="O49" s="8">
        <f>HLOOKUP("DepartureYearLY.ConfirmedBookingOtherSegmentExcludingFO",Sheet2!$1:$2,2,FALSE)</f>
        <v>39</v>
      </c>
      <c r="P49" s="5">
        <f t="shared" si="15"/>
        <v>0.64102564102564108</v>
      </c>
    </row>
    <row r="50" spans="1:16" x14ac:dyDescent="0.25">
      <c r="A50" s="11" t="s">
        <v>37</v>
      </c>
      <c r="C50" s="8"/>
      <c r="D50" s="8"/>
      <c r="E50" s="5"/>
      <c r="F50" s="8"/>
      <c r="G50" s="5"/>
      <c r="H50" s="8"/>
      <c r="I50" s="8"/>
      <c r="J50" s="5"/>
      <c r="K50" s="8"/>
      <c r="L50" s="8"/>
      <c r="M50" s="5"/>
      <c r="N50" s="8"/>
      <c r="O50" s="8"/>
      <c r="P50" s="5"/>
    </row>
    <row r="51" spans="1:16" x14ac:dyDescent="0.25">
      <c r="A51" s="1" t="s">
        <v>38</v>
      </c>
      <c r="C51" s="8">
        <f>HLOOKUP("ConfirmedTW.ConfirmedBookingGreeceExcludingFODepartureYear",Sheet2!$1:$2,2,FALSE)</f>
        <v>83</v>
      </c>
      <c r="D51" s="8">
        <f>HLOOKUP("ConfirmedLW.ConfirmedBookingGreeceExcludingFODepartureYear",Sheet2!$1:$2,2,FALSE)</f>
        <v>84</v>
      </c>
      <c r="E51" s="5">
        <f t="shared" ref="E51:E57" si="16">IFERROR((C51-D51)/D51,0)</f>
        <v>-1.1904761904761904E-2</v>
      </c>
      <c r="F51" s="8">
        <f>HLOOKUP("ConfirmedTWLY.ConfirmedBookingGreeceExcludingFODepartureYear",Sheet2!$1:$2,2,FALSE)</f>
        <v>38</v>
      </c>
      <c r="G51" s="5">
        <f t="shared" ref="G51:G57" si="17">IFERROR((C51-F51)/F51,0)</f>
        <v>1.1842105263157894</v>
      </c>
      <c r="H51" s="8">
        <f>HLOOKUP("ConfirmedTM.ConfirmedBookingGreeceExcludingFODepartureYear",Sheet2!$1:$2,2,FALSE)</f>
        <v>214</v>
      </c>
      <c r="I51" s="8">
        <f>HLOOKUP("ConfirmedTMLY.ConfirmedBookingGreeceExcludingFODepartureYear",Sheet2!$1:$2,2,FALSE)</f>
        <v>112</v>
      </c>
      <c r="J51" s="5">
        <f t="shared" ref="J51:J57" si="18">IFERROR((H51-I51)/I51,0)</f>
        <v>0.9107142857142857</v>
      </c>
      <c r="K51" s="8">
        <f>HLOOKUP("ConfirmedTY.ConfirmedBookingGreeceExcludingFODepartureYear",Sheet2!$1:$2,2,FALSE)</f>
        <v>2842</v>
      </c>
      <c r="L51" s="8">
        <f>HLOOKUP("ConfirmedLY.ConfirmedBookingGreeceExcludingFODepartureYear",Sheet2!$1:$2,2,FALSE)</f>
        <v>2537</v>
      </c>
      <c r="M51" s="5">
        <f t="shared" ref="M51:M57" si="19">IFERROR((K51-L51)/L51,0)</f>
        <v>0.12022073314938904</v>
      </c>
      <c r="N51" s="8">
        <f>HLOOKUP("DepartureYearTY.ConfirmedBookingGreeceExcludingFO",Sheet2!$1:$2,2,FALSE)</f>
        <v>3425</v>
      </c>
      <c r="O51" s="8">
        <f>HLOOKUP("DepartureYearLY.ConfirmedBookingGreeceExcludingFO",Sheet2!$1:$2,2,FALSE)</f>
        <v>3188</v>
      </c>
      <c r="P51" s="5">
        <f t="shared" ref="P51:P57" si="20">IFERROR((N51-O51)/O51,0)</f>
        <v>7.4341279799247179E-2</v>
      </c>
    </row>
    <row r="52" spans="1:16" x14ac:dyDescent="0.25">
      <c r="A52" s="1" t="s">
        <v>39</v>
      </c>
      <c r="C52" s="8">
        <f>HLOOKUP("ConfirmedTW.ConfirmedBookingMallorcaExcludingFODepartureYear",Sheet2!$1:$2,2,FALSE)</f>
        <v>5</v>
      </c>
      <c r="D52" s="8">
        <f>HLOOKUP("ConfirmedLW.ConfirmedBookingMallorcaExcludingFODepartureYear",Sheet2!$1:$2,2,FALSE)</f>
        <v>11</v>
      </c>
      <c r="E52" s="5">
        <f t="shared" si="16"/>
        <v>-0.54545454545454541</v>
      </c>
      <c r="F52" s="8">
        <f>HLOOKUP("ConfirmedTWLY.ConfirmedBookingMallorcaExcludingFODepartureYear",Sheet2!$1:$2,2,FALSE)</f>
        <v>10</v>
      </c>
      <c r="G52" s="5">
        <f t="shared" si="17"/>
        <v>-0.5</v>
      </c>
      <c r="H52" s="8">
        <f>HLOOKUP("ConfirmedTM.ConfirmedBookingMallorcaExcludingFODepartureYear",Sheet2!$1:$2,2,FALSE)</f>
        <v>25</v>
      </c>
      <c r="I52" s="8">
        <f>HLOOKUP("ConfirmedTMLY.ConfirmedBookingMallorcaExcludingFODepartureYear",Sheet2!$1:$2,2,FALSE)</f>
        <v>22</v>
      </c>
      <c r="J52" s="5">
        <f t="shared" si="18"/>
        <v>0.13636363636363635</v>
      </c>
      <c r="K52" s="8">
        <f>HLOOKUP("ConfirmedTY.ConfirmedBookingMallorcaExcludingFODepartureYear",Sheet2!$1:$2,2,FALSE)</f>
        <v>514</v>
      </c>
      <c r="L52" s="8">
        <f>HLOOKUP("ConfirmedLY.ConfirmedBookingMallorcaExcludingFODepartureYear",Sheet2!$1:$2,2,FALSE)</f>
        <v>570</v>
      </c>
      <c r="M52" s="5">
        <f t="shared" si="19"/>
        <v>-9.8245614035087719E-2</v>
      </c>
      <c r="N52" s="8">
        <f>HLOOKUP("DepartureYearTY.ConfirmedBookingMallorcaExcludingFO",Sheet2!$1:$2,2,FALSE)</f>
        <v>591</v>
      </c>
      <c r="O52" s="8">
        <f>HLOOKUP("DepartureYearLY.ConfirmedBookingMallorcaExcludingFO",Sheet2!$1:$2,2,FALSE)</f>
        <v>651</v>
      </c>
      <c r="P52" s="5">
        <f t="shared" si="20"/>
        <v>-9.2165898617511524E-2</v>
      </c>
    </row>
    <row r="53" spans="1:16" x14ac:dyDescent="0.25">
      <c r="A53" s="1" t="s">
        <v>40</v>
      </c>
      <c r="C53" s="8">
        <f>HLOOKUP("ConfirmedTW.ConfirmedBookingItalyExcludingFODepartureYear",Sheet2!$1:$2,2,FALSE)</f>
        <v>13</v>
      </c>
      <c r="D53" s="8">
        <f>HLOOKUP("ConfirmedLW.ConfirmedBookingItalyExcludingFODepartureYear",Sheet2!$1:$2,2,FALSE)</f>
        <v>8</v>
      </c>
      <c r="E53" s="5">
        <f t="shared" si="16"/>
        <v>0.625</v>
      </c>
      <c r="F53" s="8">
        <f>HLOOKUP("ConfirmedTWLY.ConfirmedBookingItalyExcludingFODepartureYear",Sheet2!$1:$2,2,FALSE)</f>
        <v>6</v>
      </c>
      <c r="G53" s="5">
        <f t="shared" si="17"/>
        <v>1.1666666666666667</v>
      </c>
      <c r="H53" s="8">
        <f>HLOOKUP("ConfirmedTM.ConfirmedBookingItalyExcludingFODepartureYear",Sheet2!$1:$2,2,FALSE)</f>
        <v>24</v>
      </c>
      <c r="I53" s="8">
        <f>HLOOKUP("ConfirmedTMLY.ConfirmedBookingItalyExcludingFODepartureYear",Sheet2!$1:$2,2,FALSE)</f>
        <v>12</v>
      </c>
      <c r="J53" s="5">
        <f t="shared" si="18"/>
        <v>1</v>
      </c>
      <c r="K53" s="8">
        <f>HLOOKUP("ConfirmedTY.ConfirmedBookingItalyExcludingFODepartureYear",Sheet2!$1:$2,2,FALSE)</f>
        <v>347</v>
      </c>
      <c r="L53" s="8">
        <f>HLOOKUP("ConfirmedLY.ConfirmedBookingItalyExcludingFODepartureYear",Sheet2!$1:$2,2,FALSE)</f>
        <v>372</v>
      </c>
      <c r="M53" s="5">
        <f t="shared" si="19"/>
        <v>-6.7204301075268813E-2</v>
      </c>
      <c r="N53" s="8">
        <f>HLOOKUP("DepartureYearTY.ConfirmedBookingItalyExcludingFO",Sheet2!$1:$2,2,FALSE)</f>
        <v>401</v>
      </c>
      <c r="O53" s="8">
        <f>HLOOKUP("DepartureYearLY.ConfirmedBookingItalyExcludingFO",Sheet2!$1:$2,2,FALSE)</f>
        <v>404</v>
      </c>
      <c r="P53" s="5">
        <f t="shared" si="20"/>
        <v>-7.4257425742574254E-3</v>
      </c>
    </row>
    <row r="54" spans="1:16" x14ac:dyDescent="0.25">
      <c r="A54" s="1" t="s">
        <v>41</v>
      </c>
      <c r="C54" s="8">
        <f>HLOOKUP("ConfirmedTW.ConfirmedBookingCorsicaExcludingFODepartureYear",Sheet2!$1:$2,2,FALSE)</f>
        <v>16</v>
      </c>
      <c r="D54" s="8">
        <f>HLOOKUP("ConfirmedLW.ConfirmedBookingCorsicaExcludingFODepartureYear",Sheet2!$1:$2,2,FALSE)</f>
        <v>15</v>
      </c>
      <c r="E54" s="5">
        <f t="shared" si="16"/>
        <v>6.6666666666666666E-2</v>
      </c>
      <c r="F54" s="8">
        <f>HLOOKUP("ConfirmedTWLY.ConfirmedBookingCorsicaExcludingFODepartureYear",Sheet2!$1:$2,2,FALSE)</f>
        <v>7</v>
      </c>
      <c r="G54" s="5">
        <f t="shared" si="17"/>
        <v>1.2857142857142858</v>
      </c>
      <c r="H54" s="8">
        <f>HLOOKUP("ConfirmedTM.ConfirmedBookingCorsicaExcludingFODepartureYear",Sheet2!$1:$2,2,FALSE)</f>
        <v>38</v>
      </c>
      <c r="I54" s="8">
        <f>HLOOKUP("ConfirmedTMLY.ConfirmedBookingCorsicaExcludingFODepartureYear",Sheet2!$1:$2,2,FALSE)</f>
        <v>29</v>
      </c>
      <c r="J54" s="5">
        <f t="shared" si="18"/>
        <v>0.31034482758620691</v>
      </c>
      <c r="K54" s="8">
        <f>HLOOKUP("ConfirmedTY.ConfirmedBookingCorsicaExcludingFODepartureYear",Sheet2!$1:$2,2,FALSE)</f>
        <v>718</v>
      </c>
      <c r="L54" s="8">
        <f>HLOOKUP("ConfirmedLY.ConfirmedBookingCorsicaExcludingFODepartureYear",Sheet2!$1:$2,2,FALSE)</f>
        <v>936</v>
      </c>
      <c r="M54" s="5">
        <f t="shared" si="19"/>
        <v>-0.23290598290598291</v>
      </c>
      <c r="N54" s="8">
        <f>HLOOKUP("DepartureYearTY.ConfirmedBookingCorsicaExcludingFO",Sheet2!$1:$2,2,FALSE)</f>
        <v>833</v>
      </c>
      <c r="O54" s="8">
        <f>HLOOKUP("DepartureYearLY.ConfirmedBookingCorsicaExcludingFO",Sheet2!$1:$2,2,FALSE)</f>
        <v>1028</v>
      </c>
      <c r="P54" s="5">
        <f t="shared" si="20"/>
        <v>-0.18968871595330739</v>
      </c>
    </row>
    <row r="55" spans="1:16" x14ac:dyDescent="0.25">
      <c r="A55" s="1" t="s">
        <v>42</v>
      </c>
      <c r="C55" s="8">
        <f>HLOOKUP("ConfirmedTW.ConfirmedBookingTurkeyExcludingFODepartureYear",Sheet2!$1:$2,2,FALSE)</f>
        <v>15</v>
      </c>
      <c r="D55" s="8">
        <f>HLOOKUP("ConfirmedLW.ConfirmedBookingTurkeyExcludingFODepartureYear",Sheet2!$1:$2,2,FALSE)</f>
        <v>22</v>
      </c>
      <c r="E55" s="5">
        <f t="shared" si="16"/>
        <v>-0.31818181818181818</v>
      </c>
      <c r="F55" s="8">
        <f>HLOOKUP("ConfirmedTWLY.ConfirmedBookingTurkeyExcludingFODepartureYear",Sheet2!$1:$2,2,FALSE)</f>
        <v>13</v>
      </c>
      <c r="G55" s="5">
        <f t="shared" si="17"/>
        <v>0.15384615384615385</v>
      </c>
      <c r="H55" s="8">
        <f>HLOOKUP("ConfirmedTM.ConfirmedBookingTurkeyExcludingFODepartureYear",Sheet2!$1:$2,2,FALSE)</f>
        <v>51</v>
      </c>
      <c r="I55" s="8">
        <f>HLOOKUP("ConfirmedTMLY.ConfirmedBookingTurkeyExcludingFODepartureYear",Sheet2!$1:$2,2,FALSE)</f>
        <v>39</v>
      </c>
      <c r="J55" s="5">
        <f t="shared" si="18"/>
        <v>0.30769230769230771</v>
      </c>
      <c r="K55" s="8">
        <f>HLOOKUP("ConfirmedTY.ConfirmedBookingTurkeyExcludingFODepartureYear",Sheet2!$1:$2,2,FALSE)</f>
        <v>825</v>
      </c>
      <c r="L55" s="8">
        <f>HLOOKUP("ConfirmedLY.ConfirmedBookingTurkeyExcludingFODepartureYear",Sheet2!$1:$2,2,FALSE)</f>
        <v>813</v>
      </c>
      <c r="M55" s="5">
        <f t="shared" si="19"/>
        <v>1.4760147601476014E-2</v>
      </c>
      <c r="N55" s="8">
        <f>HLOOKUP("DepartureYearTY.ConfirmedBookingTurkeyExcludingFO",Sheet2!$1:$2,2,FALSE)</f>
        <v>1106</v>
      </c>
      <c r="O55" s="8">
        <f>HLOOKUP("DepartureYearLY.ConfirmedBookingTurkeyExcludingFO",Sheet2!$1:$2,2,FALSE)</f>
        <v>875</v>
      </c>
      <c r="P55" s="5">
        <f t="shared" si="20"/>
        <v>0.26400000000000001</v>
      </c>
    </row>
    <row r="56" spans="1:16" x14ac:dyDescent="0.25">
      <c r="A56" s="1" t="s">
        <v>43</v>
      </c>
      <c r="C56" s="8">
        <f>HLOOKUP("ConfirmedTW.ConfirmedBookingFranceExcludingAquitaineExcludingFODepartureYear",Sheet2!$1:$2,2,FALSE)</f>
        <v>1</v>
      </c>
      <c r="D56" s="8">
        <f>HLOOKUP("ConfirmedLW.ConfirmedBookingFranceExcludingAquitaineExcludingFODepartureYear",Sheet2!$1:$2,2,FALSE)</f>
        <v>5</v>
      </c>
      <c r="E56" s="5">
        <f t="shared" si="16"/>
        <v>-0.8</v>
      </c>
      <c r="F56" s="8">
        <f>HLOOKUP("ConfirmedTWLY.ConfirmedBookingFranceExcludingAquitaineExcludingFODepartureYear",Sheet2!$1:$2,2,FALSE)</f>
        <v>2</v>
      </c>
      <c r="G56" s="5">
        <f t="shared" si="17"/>
        <v>-0.5</v>
      </c>
      <c r="H56" s="8">
        <f>HLOOKUP("ConfirmedTM.ConfirmedBookingFranceExcludingAquitaineExcludingFODepartureYear",Sheet2!$1:$2,2,FALSE)</f>
        <v>7</v>
      </c>
      <c r="I56" s="8">
        <f>HLOOKUP("ConfirmedTMLY.ConfirmedBookingFranceExcludingAquitaineExcludingFODepartureYear",Sheet2!$1:$2,2,FALSE)</f>
        <v>7</v>
      </c>
      <c r="J56" s="5">
        <f t="shared" si="18"/>
        <v>0</v>
      </c>
      <c r="K56" s="8">
        <f>HLOOKUP("ConfirmedTY.ConfirmedBookingFranceExcludingAquitaineExcludingFODepartureYear",Sheet2!$1:$2,2,FALSE)</f>
        <v>173</v>
      </c>
      <c r="L56" s="8">
        <f>HLOOKUP("ConfirmedLY.ConfirmedBookingFranceExcludingAquitaineExcludingFODepartureYear",Sheet2!$1:$2,2,FALSE)</f>
        <v>248</v>
      </c>
      <c r="M56" s="5">
        <f t="shared" si="19"/>
        <v>-0.30241935483870969</v>
      </c>
      <c r="N56" s="8">
        <f>HLOOKUP("DepartureYearTY.ConfirmedBookingFranceExcludingAquitaineExcludingFO",Sheet2!$1:$2,2,FALSE)</f>
        <v>217</v>
      </c>
      <c r="O56" s="8">
        <f>HLOOKUP("DepartureYearLY.ConfirmedBookingFranceExcludingAquitaineExcludingFO",Sheet2!$1:$2,2,FALSE)</f>
        <v>287</v>
      </c>
      <c r="P56" s="5">
        <f t="shared" si="20"/>
        <v>-0.24390243902439024</v>
      </c>
    </row>
    <row r="57" spans="1:16" x14ac:dyDescent="0.25">
      <c r="A57" s="1" t="s">
        <v>44</v>
      </c>
      <c r="C57" s="8">
        <f>HLOOKUP("ConfirmedTW.ConfirmedBookingFranceExcludingFODepartureYear",Sheet2!$1:$2,2,FALSE)</f>
        <v>1</v>
      </c>
      <c r="D57" s="8">
        <f>HLOOKUP("ConfirmedLW.ConfirmedBookingFranceExcludingFODepartureYear",Sheet2!$1:$2,2,FALSE)</f>
        <v>10</v>
      </c>
      <c r="E57" s="5">
        <f t="shared" si="16"/>
        <v>-0.9</v>
      </c>
      <c r="F57" s="8">
        <f>HLOOKUP("ConfirmedTWLY.ConfirmedBookingFranceExcludingFODepartureYear",Sheet2!$1:$2,2,FALSE)</f>
        <v>2</v>
      </c>
      <c r="G57" s="5">
        <f t="shared" si="17"/>
        <v>-0.5</v>
      </c>
      <c r="H57" s="8">
        <f>HLOOKUP("ConfirmedTM.ConfirmedBookingFranceExcludingFODepartureYear",Sheet2!$1:$2,2,FALSE)</f>
        <v>13</v>
      </c>
      <c r="I57" s="8">
        <f>HLOOKUP("ConfirmedTMLY.ConfirmedBookingFranceExcludingFODepartureYear",Sheet2!$1:$2,2,FALSE)</f>
        <v>7</v>
      </c>
      <c r="J57" s="5">
        <f t="shared" si="18"/>
        <v>0.8571428571428571</v>
      </c>
      <c r="K57" s="8">
        <f>HLOOKUP("ConfirmedTY.ConfirmedBookingFranceExcludingFODepartureYear",Sheet2!$1:$2,2,FALSE)</f>
        <v>390</v>
      </c>
      <c r="L57" s="8">
        <f>HLOOKUP("ConfirmedLY.ConfirmedBookingFranceExcludingFODepartureYear",Sheet2!$1:$2,2,FALSE)</f>
        <v>248</v>
      </c>
      <c r="M57" s="5">
        <f t="shared" si="19"/>
        <v>0.57258064516129037</v>
      </c>
      <c r="N57" s="8">
        <f>HLOOKUP("DepartureYearTY.ConfirmedBookingFranceExcludingFO",Sheet2!$1:$2,2,FALSE)</f>
        <v>431</v>
      </c>
      <c r="O57" s="8">
        <f>HLOOKUP("DepartureYearLY.ConfirmedBookingFranceExcludingFO",Sheet2!$1:$2,2,FALSE)</f>
        <v>287</v>
      </c>
      <c r="P57" s="5">
        <f t="shared" si="20"/>
        <v>0.50174216027874563</v>
      </c>
    </row>
    <row r="58" spans="1:16" x14ac:dyDescent="0.25">
      <c r="A58" s="11" t="s">
        <v>56</v>
      </c>
      <c r="C58" s="8"/>
      <c r="D58" s="8"/>
      <c r="E58" s="5"/>
      <c r="F58" s="8"/>
      <c r="G58" s="5"/>
      <c r="H58" s="8"/>
      <c r="I58" s="8"/>
      <c r="J58" s="5"/>
      <c r="K58" s="8"/>
      <c r="L58" s="8"/>
      <c r="M58" s="5"/>
      <c r="N58" s="8"/>
      <c r="O58" s="8"/>
      <c r="P58" s="5"/>
    </row>
    <row r="59" spans="1:16" x14ac:dyDescent="0.25">
      <c r="A59" s="1" t="s">
        <v>45</v>
      </c>
      <c r="C59" s="8">
        <f>HLOOKUP("ConfirmedTW.ConfirmedBookingMayDepartureExcludingFODepartureYear",Sheet2!$1:$2,2,FALSE)</f>
        <v>0</v>
      </c>
      <c r="D59" s="8">
        <f>HLOOKUP("ConfirmedLW.ConfirmedBookingMayDepartureExcludingFODepartureYear",Sheet2!$1:$2,2,FALSE)</f>
        <v>0</v>
      </c>
      <c r="E59" s="5">
        <f t="shared" ref="E59:E64" si="21">IFERROR((C59-D59)/D59,0)</f>
        <v>0</v>
      </c>
      <c r="F59" s="8">
        <f>HLOOKUP("ConfirmedTWLY.ConfirmedBookingMayDepartureExcludingFODepartureYear",Sheet2!$1:$2,2,FALSE)</f>
        <v>0</v>
      </c>
      <c r="G59" s="5">
        <f t="shared" ref="G59:G64" si="22">IFERROR((C59-F59)/F59,0)</f>
        <v>0</v>
      </c>
      <c r="H59" s="8">
        <f>HLOOKUP("ConfirmedTM.ConfirmedBookingMayDepartureExcludingFODepartureYear",Sheet2!$1:$2,2,FALSE)</f>
        <v>0</v>
      </c>
      <c r="I59" s="8">
        <f>HLOOKUP("ConfirmedTMLY.ConfirmedBookingMayDepartureExcludingFODepartureYear",Sheet2!$1:$2,2,FALSE)</f>
        <v>0</v>
      </c>
      <c r="J59" s="5">
        <f t="shared" ref="J59:J64" si="23">IFERROR((H59-I59)/I59,0)</f>
        <v>0</v>
      </c>
      <c r="K59" s="8">
        <f>HLOOKUP("ConfirmedTY.ConfirmedBookingMayDepartureExcludingFODepartureYear",Sheet2!$1:$2,2,FALSE)</f>
        <v>654</v>
      </c>
      <c r="L59" s="8">
        <f>HLOOKUP("ConfirmedLY.ConfirmedBookingMayDepartureExcludingFODepartureYear",Sheet2!$1:$2,2,FALSE)</f>
        <v>740</v>
      </c>
      <c r="M59" s="5">
        <f t="shared" ref="M59:M64" si="24">IFERROR((K59-L59)/L59,0)</f>
        <v>-0.11621621621621622</v>
      </c>
      <c r="N59" s="8">
        <f>HLOOKUP("DepartureYearTY.ConfirmedBookingMayDepartureExcludingFO",Sheet2!$1:$2,2,FALSE)</f>
        <v>859</v>
      </c>
      <c r="O59" s="8">
        <f>HLOOKUP("DepartureYearLY.ConfirmedBookingMayDepartureExcludingFO",Sheet2!$1:$2,2,FALSE)</f>
        <v>881</v>
      </c>
      <c r="P59" s="5">
        <f t="shared" ref="P59:P64" si="25">IFERROR((N59-O59)/O59,0)</f>
        <v>-2.4971623155505107E-2</v>
      </c>
    </row>
    <row r="60" spans="1:16" x14ac:dyDescent="0.25">
      <c r="A60" s="1" t="s">
        <v>46</v>
      </c>
      <c r="C60" s="8">
        <f>HLOOKUP("ConfirmedTW.ConfirmedBookingJuneDepartureExcludingFODepartureYear",Sheet2!$1:$2,2,FALSE)</f>
        <v>0</v>
      </c>
      <c r="D60" s="8">
        <f>HLOOKUP("ConfirmedLW.ConfirmedBookingJuneDepartureExcludingFODepartureYear",Sheet2!$1:$2,2,FALSE)</f>
        <v>0</v>
      </c>
      <c r="E60" s="5">
        <f t="shared" si="21"/>
        <v>0</v>
      </c>
      <c r="F60" s="8">
        <f>HLOOKUP("ConfirmedTWLY.ConfirmedBookingJuneDepartureExcludingFODepartureYear",Sheet2!$1:$2,2,FALSE)</f>
        <v>0</v>
      </c>
      <c r="G60" s="5">
        <f t="shared" si="22"/>
        <v>0</v>
      </c>
      <c r="H60" s="8">
        <f>HLOOKUP("ConfirmedTM.ConfirmedBookingJuneDepartureExcludingFODepartureYear",Sheet2!$1:$2,2,FALSE)</f>
        <v>0</v>
      </c>
      <c r="I60" s="8">
        <f>HLOOKUP("ConfirmedTMLY.ConfirmedBookingJuneDepartureExcludingFODepartureYear",Sheet2!$1:$2,2,FALSE)</f>
        <v>0</v>
      </c>
      <c r="J60" s="5">
        <f t="shared" si="23"/>
        <v>0</v>
      </c>
      <c r="K60" s="8">
        <f>HLOOKUP("ConfirmedTY.ConfirmedBookingJuneDepartureExcludingFODepartureYear",Sheet2!$1:$2,2,FALSE)</f>
        <v>1113</v>
      </c>
      <c r="L60" s="8">
        <f>HLOOKUP("ConfirmedLY.ConfirmedBookingJuneDepartureExcludingFODepartureYear",Sheet2!$1:$2,2,FALSE)</f>
        <v>1039</v>
      </c>
      <c r="M60" s="5">
        <f t="shared" si="24"/>
        <v>7.1222329162656403E-2</v>
      </c>
      <c r="N60" s="8">
        <f>HLOOKUP("DepartureYearTY.ConfirmedBookingJuneDepartureExcludingFO",Sheet2!$1:$2,2,FALSE)</f>
        <v>1478</v>
      </c>
      <c r="O60" s="8">
        <f>HLOOKUP("DepartureYearLY.ConfirmedBookingJuneDepartureExcludingFO",Sheet2!$1:$2,2,FALSE)</f>
        <v>1329</v>
      </c>
      <c r="P60" s="5">
        <f t="shared" si="25"/>
        <v>0.11211437170805116</v>
      </c>
    </row>
    <row r="61" spans="1:16" x14ac:dyDescent="0.25">
      <c r="A61" s="1" t="s">
        <v>47</v>
      </c>
      <c r="C61" s="8">
        <f>HLOOKUP("ConfirmedTW.ConfirmedBookingJulyDepartureExcludingFODepartureYear",Sheet2!$1:$2,2,FALSE)</f>
        <v>0</v>
      </c>
      <c r="D61" s="8">
        <f>HLOOKUP("ConfirmedLW.ConfirmedBookingJulyDepartureExcludingFODepartureYear",Sheet2!$1:$2,2,FALSE)</f>
        <v>0</v>
      </c>
      <c r="E61" s="5">
        <f t="shared" si="21"/>
        <v>0</v>
      </c>
      <c r="F61" s="8">
        <f>HLOOKUP("ConfirmedTWLY.ConfirmedBookingJulyDepartureExcludingFODepartureYear",Sheet2!$1:$2,2,FALSE)</f>
        <v>0</v>
      </c>
      <c r="G61" s="5">
        <f t="shared" si="22"/>
        <v>0</v>
      </c>
      <c r="H61" s="8">
        <f>HLOOKUP("ConfirmedTM.ConfirmedBookingJulyDepartureExcludingFODepartureYear",Sheet2!$1:$2,2,FALSE)</f>
        <v>0</v>
      </c>
      <c r="I61" s="8">
        <f>HLOOKUP("ConfirmedTMLY.ConfirmedBookingJulyDepartureExcludingFODepartureYear",Sheet2!$1:$2,2,FALSE)</f>
        <v>0</v>
      </c>
      <c r="J61" s="5">
        <f t="shared" si="23"/>
        <v>0</v>
      </c>
      <c r="K61" s="8">
        <f>HLOOKUP("ConfirmedTY.ConfirmedBookingJulyDepartureExcludingFODepartureYear",Sheet2!$1:$2,2,FALSE)</f>
        <v>1067</v>
      </c>
      <c r="L61" s="8">
        <f>HLOOKUP("ConfirmedLY.ConfirmedBookingJulyDepartureExcludingFODepartureYear",Sheet2!$1:$2,2,FALSE)</f>
        <v>1151</v>
      </c>
      <c r="M61" s="5">
        <f t="shared" si="24"/>
        <v>-7.2980017376194611E-2</v>
      </c>
      <c r="N61" s="8">
        <f>HLOOKUP("DepartureYearTY.ConfirmedBookingJulyDepartureExcludingFO",Sheet2!$1:$2,2,FALSE)</f>
        <v>1227</v>
      </c>
      <c r="O61" s="8">
        <f>HLOOKUP("DepartureYearLY.ConfirmedBookingJulyDepartureExcludingFO",Sheet2!$1:$2,2,FALSE)</f>
        <v>1347</v>
      </c>
      <c r="P61" s="5">
        <f t="shared" si="25"/>
        <v>-8.9086859688195991E-2</v>
      </c>
    </row>
    <row r="62" spans="1:16" x14ac:dyDescent="0.25">
      <c r="A62" s="1" t="s">
        <v>48</v>
      </c>
      <c r="C62" s="8">
        <f>HLOOKUP("ConfirmedTW.ConfirmedBookingAugustDepartureExcludingFODepartureYear",Sheet2!$1:$2,2,FALSE)</f>
        <v>57</v>
      </c>
      <c r="D62" s="8">
        <f>HLOOKUP("ConfirmedLW.ConfirmedBookingAugustDepartureExcludingFODepartureYear",Sheet2!$1:$2,2,FALSE)</f>
        <v>68</v>
      </c>
      <c r="E62" s="5">
        <f t="shared" si="21"/>
        <v>-0.16176470588235295</v>
      </c>
      <c r="F62" s="8">
        <f>HLOOKUP("ConfirmedTWLY.ConfirmedBookingAugustDepartureExcludingFODepartureYear",Sheet2!$1:$2,2,FALSE)</f>
        <v>32</v>
      </c>
      <c r="G62" s="5">
        <f t="shared" si="22"/>
        <v>0.78125</v>
      </c>
      <c r="H62" s="8">
        <f>HLOOKUP("ConfirmedTM.ConfirmedBookingAugustDepartureExcludingFODepartureYear",Sheet2!$1:$2,2,FALSE)</f>
        <v>159</v>
      </c>
      <c r="I62" s="8">
        <f>HLOOKUP("ConfirmedTMLY.ConfirmedBookingAugustDepartureExcludingFODepartureYear",Sheet2!$1:$2,2,FALSE)</f>
        <v>91</v>
      </c>
      <c r="J62" s="5">
        <f t="shared" si="23"/>
        <v>0.74725274725274726</v>
      </c>
      <c r="K62" s="8">
        <f>HLOOKUP("ConfirmedTY.ConfirmedBookingAugustDepartureExcludingFODepartureYear",Sheet2!$1:$2,2,FALSE)</f>
        <v>1354</v>
      </c>
      <c r="L62" s="8">
        <f>HLOOKUP("ConfirmedLY.ConfirmedBookingAugustDepartureExcludingFODepartureYear",Sheet2!$1:$2,2,FALSE)</f>
        <v>1107</v>
      </c>
      <c r="M62" s="5">
        <f t="shared" si="24"/>
        <v>0.22312556458897922</v>
      </c>
      <c r="N62" s="8">
        <f>HLOOKUP("DepartureYearTY.ConfirmedBookingAugustDepartureExcludingFO",Sheet2!$1:$2,2,FALSE)</f>
        <v>1511</v>
      </c>
      <c r="O62" s="8">
        <f>HLOOKUP("DepartureYearLY.ConfirmedBookingAugustDepartureExcludingFO",Sheet2!$1:$2,2,FALSE)</f>
        <v>1229</v>
      </c>
      <c r="P62" s="5">
        <f t="shared" si="25"/>
        <v>0.22945484133441824</v>
      </c>
    </row>
    <row r="63" spans="1:16" x14ac:dyDescent="0.25">
      <c r="A63" s="1" t="s">
        <v>49</v>
      </c>
      <c r="C63" s="8">
        <f>HLOOKUP("ConfirmedTW.ConfirmedBookingSeptemberDepartureExcludingFODepartureYear",Sheet2!$1:$2,2,FALSE)</f>
        <v>59</v>
      </c>
      <c r="D63" s="8">
        <f>HLOOKUP("ConfirmedLW.ConfirmedBookingSeptemberDepartureExcludingFODepartureYear",Sheet2!$1:$2,2,FALSE)</f>
        <v>56</v>
      </c>
      <c r="E63" s="5">
        <f t="shared" si="21"/>
        <v>5.3571428571428568E-2</v>
      </c>
      <c r="F63" s="8">
        <f>HLOOKUP("ConfirmedTWLY.ConfirmedBookingSeptemberDepartureExcludingFODepartureYear",Sheet2!$1:$2,2,FALSE)</f>
        <v>29</v>
      </c>
      <c r="G63" s="5">
        <f t="shared" si="22"/>
        <v>1.0344827586206897</v>
      </c>
      <c r="H63" s="8">
        <f>HLOOKUP("ConfirmedTM.ConfirmedBookingSeptemberDepartureExcludingFODepartureYear",Sheet2!$1:$2,2,FALSE)</f>
        <v>151</v>
      </c>
      <c r="I63" s="8">
        <f>HLOOKUP("ConfirmedTMLY.ConfirmedBookingSeptemberDepartureExcludingFODepartureYear",Sheet2!$1:$2,2,FALSE)</f>
        <v>91</v>
      </c>
      <c r="J63" s="5">
        <f t="shared" si="23"/>
        <v>0.65934065934065933</v>
      </c>
      <c r="K63" s="8">
        <f>HLOOKUP("ConfirmedTY.ConfirmedBookingSeptemberDepartureExcludingFODepartureYear",Sheet2!$1:$2,2,FALSE)</f>
        <v>1115</v>
      </c>
      <c r="L63" s="8">
        <f>HLOOKUP("ConfirmedLY.ConfirmedBookingSeptemberDepartureExcludingFODepartureYear",Sheet2!$1:$2,2,FALSE)</f>
        <v>1120</v>
      </c>
      <c r="M63" s="5">
        <f t="shared" si="24"/>
        <v>-4.464285714285714E-3</v>
      </c>
      <c r="N63" s="8">
        <f>HLOOKUP("DepartureYearTY.ConfirmedBookingSeptemberDepartureExcludingFO",Sheet2!$1:$2,2,FALSE)</f>
        <v>1359</v>
      </c>
      <c r="O63" s="8">
        <f>HLOOKUP("DepartureYearLY.ConfirmedBookingSeptemberDepartureExcludingFO",Sheet2!$1:$2,2,FALSE)</f>
        <v>1308</v>
      </c>
      <c r="P63" s="5">
        <f t="shared" si="25"/>
        <v>3.8990825688073397E-2</v>
      </c>
    </row>
    <row r="64" spans="1:16" x14ac:dyDescent="0.25">
      <c r="A64" s="1" t="s">
        <v>50</v>
      </c>
      <c r="C64" s="8">
        <f>HLOOKUP("ConfirmedTW.ConfirmedBookingOctoberDepartureExcludingFODepartureYear",Sheet2!$1:$2,2,FALSE)</f>
        <v>17</v>
      </c>
      <c r="D64" s="8">
        <f>HLOOKUP("ConfirmedLW.ConfirmedBookingOctoberDepartureExcludingFODepartureYear",Sheet2!$1:$2,2,FALSE)</f>
        <v>25</v>
      </c>
      <c r="E64" s="5">
        <f t="shared" si="21"/>
        <v>-0.32</v>
      </c>
      <c r="F64" s="8">
        <f>HLOOKUP("ConfirmedTWLY.ConfirmedBookingOctoberDepartureExcludingFODepartureYear",Sheet2!$1:$2,2,FALSE)</f>
        <v>15</v>
      </c>
      <c r="G64" s="5">
        <f t="shared" si="22"/>
        <v>0.13333333333333333</v>
      </c>
      <c r="H64" s="8">
        <f>HLOOKUP("ConfirmedTM.ConfirmedBookingOctoberDepartureExcludingFODepartureYear",Sheet2!$1:$2,2,FALSE)</f>
        <v>54</v>
      </c>
      <c r="I64" s="8">
        <f>HLOOKUP("ConfirmedTMLY.ConfirmedBookingOctoberDepartureExcludingFODepartureYear",Sheet2!$1:$2,2,FALSE)</f>
        <v>39</v>
      </c>
      <c r="J64" s="5">
        <f t="shared" si="23"/>
        <v>0.38461538461538464</v>
      </c>
      <c r="K64" s="8">
        <f>HLOOKUP("ConfirmedTY.ConfirmedBookingOctoberDepartureExcludingFODepartureYear",Sheet2!$1:$2,2,FALSE)</f>
        <v>264</v>
      </c>
      <c r="L64" s="8">
        <f>HLOOKUP("ConfirmedLY.ConfirmedBookingOctoberDepartureExcludingFODepartureYear",Sheet2!$1:$2,2,FALSE)</f>
        <v>246</v>
      </c>
      <c r="M64" s="5">
        <f t="shared" si="24"/>
        <v>7.3170731707317069E-2</v>
      </c>
      <c r="N64" s="8">
        <f>HLOOKUP("DepartureYearTY.ConfirmedBookingOctoberDepartureExcludingFO",Sheet2!$1:$2,2,FALSE)</f>
        <v>280</v>
      </c>
      <c r="O64" s="8">
        <f>HLOOKUP("DepartureYearLY.ConfirmedBookingOctoberDepartureExcludingFO",Sheet2!$1:$2,2,FALSE)</f>
        <v>257</v>
      </c>
      <c r="P64" s="5">
        <f t="shared" si="25"/>
        <v>8.9494163424124515E-2</v>
      </c>
    </row>
    <row r="65" spans="1:16" x14ac:dyDescent="0.25">
      <c r="A65" s="12"/>
      <c r="C65" s="8"/>
      <c r="D65" s="8"/>
      <c r="E65" s="5"/>
      <c r="F65" s="8"/>
      <c r="G65" s="5"/>
      <c r="H65" s="8"/>
      <c r="I65" s="8"/>
      <c r="J65" s="5"/>
      <c r="K65" s="8"/>
      <c r="L65" s="8"/>
      <c r="M65" s="5"/>
      <c r="N65" s="8"/>
      <c r="O65" s="8"/>
      <c r="P65" s="5"/>
    </row>
    <row r="66" spans="1:16" x14ac:dyDescent="0.25">
      <c r="A66" s="13" t="s">
        <v>55</v>
      </c>
      <c r="C66" s="8"/>
      <c r="D66" s="8"/>
      <c r="E66" s="5"/>
      <c r="F66" s="8"/>
      <c r="G66" s="5"/>
      <c r="H66" s="8"/>
      <c r="I66" s="8"/>
      <c r="J66" s="5"/>
      <c r="K66" s="8"/>
      <c r="L66" s="8"/>
      <c r="M66" s="5"/>
      <c r="N66" s="8"/>
      <c r="O66" s="8"/>
      <c r="P66" s="5"/>
    </row>
    <row r="67" spans="1:16" x14ac:dyDescent="0.25">
      <c r="A67" s="2" t="s">
        <v>25</v>
      </c>
      <c r="C67" s="8"/>
      <c r="D67" s="8"/>
      <c r="E67" s="5"/>
      <c r="F67" s="8"/>
      <c r="G67" s="5"/>
      <c r="H67" s="8"/>
      <c r="I67" s="8"/>
      <c r="J67" s="5"/>
      <c r="K67" s="8"/>
      <c r="L67" s="8"/>
      <c r="M67" s="5"/>
      <c r="N67" s="8"/>
      <c r="O67" s="8"/>
      <c r="P67" s="5"/>
    </row>
    <row r="68" spans="1:16" x14ac:dyDescent="0.25">
      <c r="A68" s="1" t="s">
        <v>26</v>
      </c>
      <c r="C68" s="7">
        <f>HLOOKUP("ConfirmedTW.ConfirmedRevenuePastClientExcludingFODepartureYear",Sheet2!$1:$2,2,FALSE)</f>
        <v>141930.95000000001</v>
      </c>
      <c r="D68" s="7">
        <f>HLOOKUP("ConfirmedLW.ConfirmedRevenuePastClientExcludingFODepartureYear",Sheet2!$1:$2,2,FALSE)</f>
        <v>187220.13</v>
      </c>
      <c r="E68" s="5">
        <f>IFERROR((C68-D68)/D68,0)</f>
        <v>-0.24190336797650974</v>
      </c>
      <c r="F68" s="7">
        <f>HLOOKUP("ConfirmedTWLY.ConfirmedRevenuePastClientExcludingFODepartureYear",Sheet2!$1:$2,2,FALSE)</f>
        <v>86193.5</v>
      </c>
      <c r="G68" s="5">
        <f>IFERROR((C68-F68)/F68,0)</f>
        <v>0.646654910173041</v>
      </c>
      <c r="H68" s="7">
        <f>HLOOKUP("ConfirmedTM.ConfirmedRevenuePastClientExcludingFODepartureYear",Sheet2!$1:$2,2,FALSE)</f>
        <v>431160.88</v>
      </c>
      <c r="I68" s="7">
        <f>HLOOKUP("ConfirmedTMLY.ConfirmedRevenuePastClientExcludingFODepartureYear",Sheet2!$1:$2,2,FALSE)</f>
        <v>242365.14</v>
      </c>
      <c r="J68" s="5">
        <f>IFERROR((H68-I68)/I68,0)</f>
        <v>0.77897233900881946</v>
      </c>
      <c r="K68" s="7">
        <f>HLOOKUP("ConfirmedTY.ConfirmedRevenuePastClientExcludingFODepartureYear",Sheet2!$1:$2,2,FALSE)</f>
        <v>11133209.1</v>
      </c>
      <c r="L68" s="7">
        <f>HLOOKUP("ConfirmedLY.ConfirmedRevenuePastClientExcludingFODepartureYear",Sheet2!$1:$2,2,FALSE)</f>
        <v>9393668.8400000092</v>
      </c>
      <c r="M68" s="5">
        <f>IFERROR((K68-L68)/L68,0)</f>
        <v>0.18518219980171122</v>
      </c>
      <c r="N68" s="7">
        <f>HLOOKUP("DepartureYearTY.ConfirmedRevenuePastClientExcludingFO",Sheet2!$1:$2,2,FALSE)</f>
        <v>14996249.380000001</v>
      </c>
      <c r="O68" s="7">
        <f>HLOOKUP("DepartureYearLY.ConfirmedRevenuePastClientExcludingFO",Sheet2!$1:$2,2,FALSE)</f>
        <v>12738537.23</v>
      </c>
      <c r="P68" s="5">
        <f>IFERROR((N68-O68)/O68,0)</f>
        <v>0.17723480406234995</v>
      </c>
    </row>
    <row r="69" spans="1:16" x14ac:dyDescent="0.25">
      <c r="A69" s="1" t="s">
        <v>51</v>
      </c>
      <c r="C69" s="7">
        <f>HLOOKUP("ConfirmedTW.ConfirmedRevenueNewClientExcludingFODepartureYear",Sheet2!$1:$2,2,FALSE)</f>
        <v>248463.38</v>
      </c>
      <c r="D69" s="7">
        <f>HLOOKUP("ConfirmedLW.ConfirmedRevenueNewClientExcludingFODepartureYear",Sheet2!$1:$2,2,FALSE)</f>
        <v>290417.38</v>
      </c>
      <c r="E69" s="5">
        <f>IFERROR((C69-D69)/D69,0)</f>
        <v>-0.14446105119466335</v>
      </c>
      <c r="F69" s="7">
        <f>HLOOKUP("ConfirmedTWLY.ConfirmedRevenueNewClientExcludingFODepartureYear",Sheet2!$1:$2,2,FALSE)</f>
        <v>140008.13</v>
      </c>
      <c r="G69" s="5">
        <f>IFERROR((C69-F69)/F69,0)</f>
        <v>0.77463537296012741</v>
      </c>
      <c r="H69" s="7">
        <f>HLOOKUP("ConfirmedTM.ConfirmedRevenueNewClientExcludingFODepartureYear",Sheet2!$1:$2,2,FALSE)</f>
        <v>680369.72</v>
      </c>
      <c r="I69" s="7">
        <f>HLOOKUP("ConfirmedTMLY.ConfirmedRevenueNewClientExcludingFODepartureYear",Sheet2!$1:$2,2,FALSE)</f>
        <v>410353.93</v>
      </c>
      <c r="J69" s="5">
        <f>IFERROR((H69-I69)/I69,0)</f>
        <v>0.65800707696402461</v>
      </c>
      <c r="K69" s="7">
        <f>HLOOKUP("ConfirmedTY.ConfirmedRevenueNewClientExcludingFODepartureYear",Sheet2!$1:$2,2,FALSE)</f>
        <v>12207327.949999999</v>
      </c>
      <c r="L69" s="7">
        <f>HLOOKUP("ConfirmedLY.ConfirmedRevenueNewClientExcludingFODepartureYear",Sheet2!$1:$2,2,FALSE)</f>
        <v>12496076.35</v>
      </c>
      <c r="M69" s="5">
        <f>IFERROR((K69-L69)/L69,0)</f>
        <v>-2.3107125141725016E-2</v>
      </c>
      <c r="N69" s="7">
        <f>HLOOKUP("DepartureYearTY.ConfirmedRevenueNewClientExcludingFO",Sheet2!$1:$2,2,FALSE)</f>
        <v>13873254.26</v>
      </c>
      <c r="O69" s="7">
        <f>HLOOKUP("DepartureYearLY.ConfirmedRevenueNewClientExcludingFO",Sheet2!$1:$2,2,FALSE)</f>
        <v>13976835.390000001</v>
      </c>
      <c r="P69" s="5">
        <f>IFERROR((N69-O69)/O69,0)</f>
        <v>-7.4109143529092402E-3</v>
      </c>
    </row>
    <row r="70" spans="1:16" x14ac:dyDescent="0.25">
      <c r="A70" s="1" t="s">
        <v>28</v>
      </c>
      <c r="C70" s="7">
        <f>HLOOKUP("ConfirmedTW.ConfirmedRevenueUKAgentDepartureYear",Sheet2!$1:$2,2,FALSE)</f>
        <v>21996.07</v>
      </c>
      <c r="D70" s="7">
        <f>HLOOKUP("ConfirmedLW.ConfirmedRevenueUKAgentDepartureYear",Sheet2!$1:$2,2,FALSE)</f>
        <v>24319.34</v>
      </c>
      <c r="E70" s="5">
        <f>IFERROR((C70-D70)/D70,0)</f>
        <v>-9.5531786635657076E-2</v>
      </c>
      <c r="F70" s="7">
        <f>HLOOKUP("ConfirmedTWLY.ConfirmedRevenueUKAgentDepartureYear",Sheet2!$1:$2,2,FALSE)</f>
        <v>11174.66</v>
      </c>
      <c r="G70" s="5">
        <f>IFERROR((C70-F70)/F70,0)</f>
        <v>0.96838829995722464</v>
      </c>
      <c r="H70" s="7">
        <f>HLOOKUP("ConfirmedTM.ConfirmedRevenueUKAgentDepartureYear",Sheet2!$1:$2,2,FALSE)</f>
        <v>57568.23</v>
      </c>
      <c r="I70" s="7">
        <f>HLOOKUP("ConfirmedTMLY.ConfirmedRevenueUKAgentDepartureYear",Sheet2!$1:$2,2,FALSE)</f>
        <v>35426.660000000003</v>
      </c>
      <c r="J70" s="5">
        <f>IFERROR((H70-I70)/I70,0)</f>
        <v>0.62499738897203394</v>
      </c>
      <c r="K70" s="7">
        <f>HLOOKUP("ConfirmedTY.ConfirmedRevenueUKAgentDepartureYear",Sheet2!$1:$2,2,FALSE)</f>
        <v>1146531.46</v>
      </c>
      <c r="L70" s="7">
        <f>HLOOKUP("ConfirmedLY.ConfirmedRevenueUKAgentDepartureYear",Sheet2!$1:$2,2,FALSE)</f>
        <v>882893</v>
      </c>
      <c r="M70" s="5">
        <f>IFERROR((K70-L70)/L70,0)</f>
        <v>0.29860748697747064</v>
      </c>
      <c r="N70" s="7">
        <f>HLOOKUP("DepartureYearTY.ConfirmedRevenueUKAgent",Sheet2!$1:$2,2,FALSE)</f>
        <v>1334656.98</v>
      </c>
      <c r="O70" s="7">
        <f>HLOOKUP("DepartureYearLY.ConfirmedRevenueUKAgent",Sheet2!$1:$2,2,FALSE)</f>
        <v>1036716</v>
      </c>
      <c r="P70" s="5">
        <f>IFERROR((N70-O70)/O70,0)</f>
        <v>0.28738919819892811</v>
      </c>
    </row>
    <row r="71" spans="1:16" x14ac:dyDescent="0.25">
      <c r="A71" s="1" t="s">
        <v>29</v>
      </c>
      <c r="C71" s="7">
        <f>HLOOKUP("ConfirmedTW.ConfirmedRevenueOverseasAgentDepartureYear",Sheet2!$1:$2,2,FALSE)</f>
        <v>0</v>
      </c>
      <c r="D71" s="7">
        <f>HLOOKUP("ConfirmedLW.ConfirmedRevenueOverseasAgentDepartureYear",Sheet2!$1:$2,2,FALSE)</f>
        <v>0</v>
      </c>
      <c r="E71" s="5">
        <f>IFERROR((C71-D71)/D71,0)</f>
        <v>0</v>
      </c>
      <c r="F71" s="7">
        <f>HLOOKUP("ConfirmedTWLY.ConfirmedRevenueOverseasAgentDepartureYear",Sheet2!$1:$2,2,FALSE)</f>
        <v>0</v>
      </c>
      <c r="G71" s="5">
        <f>IFERROR((C71-F71)/F71,0)</f>
        <v>0</v>
      </c>
      <c r="H71" s="7">
        <f>HLOOKUP("ConfirmedTM.ConfirmedRevenueOverseasAgentDepartureYear",Sheet2!$1:$2,2,FALSE)</f>
        <v>0</v>
      </c>
      <c r="I71" s="7">
        <f>HLOOKUP("ConfirmedTMLY.ConfirmedRevenueOverseasAgentDepartureYear",Sheet2!$1:$2,2,FALSE)</f>
        <v>10296.56</v>
      </c>
      <c r="J71" s="5">
        <f>IFERROR((H71-I71)/I71,0)</f>
        <v>-1</v>
      </c>
      <c r="K71" s="7">
        <f>HLOOKUP("ConfirmedTY.ConfirmedRevenueOverseasAgentDepartureYear",Sheet2!$1:$2,2,FALSE)</f>
        <v>256026.74</v>
      </c>
      <c r="L71" s="7">
        <f>HLOOKUP("ConfirmedLY.ConfirmedRevenueOverseasAgentDepartureYear",Sheet2!$1:$2,2,FALSE)</f>
        <v>228564.1</v>
      </c>
      <c r="M71" s="5">
        <f>IFERROR((K71-L71)/L71,0)</f>
        <v>0.1201529024024332</v>
      </c>
      <c r="N71" s="7">
        <f>HLOOKUP("DepartureYearTY.ConfirmedRevenueOverseasAgent",Sheet2!$1:$2,2,FALSE)</f>
        <v>269231.48</v>
      </c>
      <c r="O71" s="7">
        <f>HLOOKUP("DepartureYearLY.ConfirmedRevenueOverseasAgent",Sheet2!$1:$2,2,FALSE)</f>
        <v>228564.1</v>
      </c>
      <c r="P71" s="5">
        <f>IFERROR((N71-O71)/O71,0)</f>
        <v>0.17792549223609472</v>
      </c>
    </row>
    <row r="72" spans="1:16" x14ac:dyDescent="0.25">
      <c r="A72" s="1" t="s">
        <v>52</v>
      </c>
      <c r="C72" s="7">
        <f>HLOOKUP("ConfirmedTW.ConfirmedRevenueWebsiteExcludingFODepartureYear",Sheet2!$1:$2,2,FALSE)</f>
        <v>24824</v>
      </c>
      <c r="D72" s="7">
        <f>HLOOKUP("ConfirmedLW.ConfirmedRevenueWebsiteExcludingFODepartureYear",Sheet2!$1:$2,2,FALSE)</f>
        <v>52502</v>
      </c>
      <c r="E72" s="5">
        <f>IFERROR((C72-D72)/D72,0)</f>
        <v>-0.52717991695554456</v>
      </c>
      <c r="F72" s="7">
        <f>HLOOKUP("ConfirmedTWLY.ConfirmedRevenueWebsiteExcludingFODepartureYear",Sheet2!$1:$2,2,FALSE)</f>
        <v>25067</v>
      </c>
      <c r="G72" s="5">
        <f>IFERROR((C72-F72)/F72,0)</f>
        <v>-9.6940200263294363E-3</v>
      </c>
      <c r="H72" s="7">
        <f>HLOOKUP("ConfirmedTM.ConfirmedRevenueWebsiteExcludingFODepartureYear",Sheet2!$1:$2,2,FALSE)</f>
        <v>99574</v>
      </c>
      <c r="I72" s="7">
        <f>HLOOKUP("ConfirmedTMLY.ConfirmedRevenueWebsiteExcludingFODepartureYear",Sheet2!$1:$2,2,FALSE)</f>
        <v>68572.58</v>
      </c>
      <c r="J72" s="5">
        <f>IFERROR((H72-I72)/I72,0)</f>
        <v>0.45209645021377348</v>
      </c>
      <c r="K72" s="7">
        <f>HLOOKUP("ConfirmedTY.ConfirmedRevenueWebsiteExcludingFODepartureYear",Sheet2!$1:$2,2,FALSE)</f>
        <v>3299184.96</v>
      </c>
      <c r="L72" s="7">
        <f>HLOOKUP("ConfirmedLY.ConfirmedRevenueWebsiteExcludingFODepartureYear",Sheet2!$1:$2,2,FALSE)</f>
        <v>3469290.62</v>
      </c>
      <c r="M72" s="5">
        <f>IFERROR((K72-L72)/L72,0)</f>
        <v>-4.9031827722752191E-2</v>
      </c>
      <c r="N72" s="7">
        <f>HLOOKUP("DepartureYearTY.ConfirmedRevenueWebsiteExcludingFO",Sheet2!$1:$2,2,FALSE)</f>
        <v>3758112.79</v>
      </c>
      <c r="O72" s="7">
        <f>HLOOKUP("DepartureYearLY.ConfirmedRevenueWebsiteExcludingFO",Sheet2!$1:$2,2,FALSE)</f>
        <v>3864933.06</v>
      </c>
      <c r="P72" s="5">
        <f>IFERROR((N72-O72)/O72,0)</f>
        <v>-2.7638323443563085E-2</v>
      </c>
    </row>
    <row r="73" spans="1:16" x14ac:dyDescent="0.25">
      <c r="A73" s="2" t="s">
        <v>30</v>
      </c>
      <c r="C73" s="7"/>
      <c r="D73" s="7"/>
      <c r="E73" s="5"/>
      <c r="F73" s="7"/>
      <c r="G73" s="5"/>
      <c r="H73" s="7"/>
      <c r="I73" s="7"/>
      <c r="J73" s="5"/>
      <c r="K73" s="7"/>
      <c r="L73" s="7"/>
      <c r="M73" s="5"/>
      <c r="N73" s="7"/>
      <c r="O73" s="7"/>
      <c r="P73" s="5"/>
    </row>
    <row r="74" spans="1:16" x14ac:dyDescent="0.25">
      <c r="A74" s="1" t="s">
        <v>31</v>
      </c>
      <c r="C74" s="7">
        <f>HLOOKUP("ConfirmedTW.ConfirmedRevenuePreschoolSegmentExcludingFODepartureYear",Sheet2!$1:$2,2,FALSE)</f>
        <v>53713</v>
      </c>
      <c r="D74" s="7">
        <f>HLOOKUP("ConfirmedLW.ConfirmedRevenuePreschoolSegmentExcludingFODepartureYear",Sheet2!$1:$2,2,FALSE)</f>
        <v>87850</v>
      </c>
      <c r="E74" s="5">
        <f t="shared" ref="E74:E80" si="26">IFERROR((C74-D74)/D74,0)</f>
        <v>-0.38858281161070007</v>
      </c>
      <c r="F74" s="7">
        <f>HLOOKUP("ConfirmedTWLY.ConfirmedRevenuePreschoolSegmentExcludingFODepartureYear",Sheet2!$1:$2,2,FALSE)</f>
        <v>29682.68</v>
      </c>
      <c r="G74" s="5">
        <f t="shared" ref="G74:G80" si="27">IFERROR((C74-F74)/F74,0)</f>
        <v>0.80957379859231038</v>
      </c>
      <c r="H74" s="7">
        <f>HLOOKUP("ConfirmedTM.ConfirmedRevenuePreschoolSegmentExcludingFODepartureYear",Sheet2!$1:$2,2,FALSE)</f>
        <v>171902</v>
      </c>
      <c r="I74" s="7">
        <f>HLOOKUP("ConfirmedTMLY.ConfirmedRevenuePreschoolSegmentExcludingFODepartureYear",Sheet2!$1:$2,2,FALSE)</f>
        <v>110809.16</v>
      </c>
      <c r="J74" s="5">
        <f t="shared" ref="J74:J80" si="28">IFERROR((H74-I74)/I74,0)</f>
        <v>0.5513338427978336</v>
      </c>
      <c r="K74" s="7">
        <f>HLOOKUP("ConfirmedTY.ConfirmedRevenuePreschoolSegmentExcludingFODepartureYear",Sheet2!$1:$2,2,FALSE)</f>
        <v>3806275.06</v>
      </c>
      <c r="L74" s="7">
        <f>HLOOKUP("ConfirmedLY.ConfirmedRevenuePreschoolSegmentExcludingFODepartureYear",Sheet2!$1:$2,2,FALSE)</f>
        <v>3737348.39</v>
      </c>
      <c r="M74" s="5">
        <f t="shared" ref="M74:M80" si="29">IFERROR((K74-L74)/L74,0)</f>
        <v>1.8442666513088957E-2</v>
      </c>
      <c r="N74" s="7">
        <f>HLOOKUP("DepartureYearTY.ConfirmedRevenuePreschoolSegmentExcludingFO",Sheet2!$1:$2,2,FALSE)</f>
        <v>4475684.0199999996</v>
      </c>
      <c r="O74" s="7">
        <f>HLOOKUP("DepartureYearLY.ConfirmedRevenuePreschoolSegmentExcludingFO",Sheet2!$1:$2,2,FALSE)</f>
        <v>4382221.6500000004</v>
      </c>
      <c r="P74" s="5">
        <f t="shared" ref="P74:P80" si="30">IFERROR((N74-O74)/O74,0)</f>
        <v>2.1327622713926204E-2</v>
      </c>
    </row>
    <row r="75" spans="1:16" x14ac:dyDescent="0.25">
      <c r="A75" s="1" t="s">
        <v>32</v>
      </c>
      <c r="C75" s="7">
        <f>HLOOKUP("ConfirmedTW.ConfirmedRevenueYoungFamilySegmentExcludingFODepartureYear",Sheet2!$1:$2,2,FALSE)</f>
        <v>65637</v>
      </c>
      <c r="D75" s="7">
        <f>HLOOKUP("ConfirmedLW.ConfirmedRevenueYoungFamilySegmentExcludingFODepartureYear",Sheet2!$1:$2,2,FALSE)</f>
        <v>59422</v>
      </c>
      <c r="E75" s="5">
        <f t="shared" si="26"/>
        <v>0.10459089226212513</v>
      </c>
      <c r="F75" s="7">
        <f>HLOOKUP("ConfirmedTWLY.ConfirmedRevenueYoungFamilySegmentExcludingFODepartureYear",Sheet2!$1:$2,2,FALSE)</f>
        <v>43429.5</v>
      </c>
      <c r="G75" s="5">
        <f t="shared" si="27"/>
        <v>0.51134597451041341</v>
      </c>
      <c r="H75" s="7">
        <f>HLOOKUP("ConfirmedTM.ConfirmedRevenueYoungFamilySegmentExcludingFODepartureYear",Sheet2!$1:$2,2,FALSE)</f>
        <v>159850</v>
      </c>
      <c r="I75" s="7">
        <f>HLOOKUP("ConfirmedTMLY.ConfirmedRevenueYoungFamilySegmentExcludingFODepartureYear",Sheet2!$1:$2,2,FALSE)</f>
        <v>67123.5</v>
      </c>
      <c r="J75" s="5">
        <f t="shared" si="28"/>
        <v>1.3814312424113759</v>
      </c>
      <c r="K75" s="7">
        <f>HLOOKUP("ConfirmedTY.ConfirmedRevenueYoungFamilySegmentExcludingFODepartureYear",Sheet2!$1:$2,2,FALSE)</f>
        <v>3423780.41</v>
      </c>
      <c r="L75" s="7">
        <f>HLOOKUP("ConfirmedLY.ConfirmedRevenueYoungFamilySegmentExcludingFODepartureYear",Sheet2!$1:$2,2,FALSE)</f>
        <v>3281944.26</v>
      </c>
      <c r="M75" s="5">
        <f t="shared" si="29"/>
        <v>4.3217111188841577E-2</v>
      </c>
      <c r="N75" s="7">
        <f>HLOOKUP("DepartureYearTY.ConfirmedRevenueYoungFamilySegmentExcludingFO",Sheet2!$1:$2,2,FALSE)</f>
        <v>4201963.83</v>
      </c>
      <c r="O75" s="7">
        <f>HLOOKUP("DepartureYearLY.ConfirmedRevenueYoungFamilySegmentExcludingFO",Sheet2!$1:$2,2,FALSE)</f>
        <v>3930483.82</v>
      </c>
      <c r="P75" s="5">
        <f t="shared" si="30"/>
        <v>6.9070379737627377E-2</v>
      </c>
    </row>
    <row r="76" spans="1:16" x14ac:dyDescent="0.25">
      <c r="A76" s="1" t="s">
        <v>33</v>
      </c>
      <c r="C76" s="7">
        <f>HLOOKUP("ConfirmedTW.ConfirmedRevenueOlderFamilySegmentExcludingFODepartureYear",Sheet2!$1:$2,2,FALSE)</f>
        <v>37891</v>
      </c>
      <c r="D76" s="7">
        <f>HLOOKUP("ConfirmedLW.ConfirmedRevenueOlderFamilySegmentExcludingFODepartureYear",Sheet2!$1:$2,2,FALSE)</f>
        <v>63392</v>
      </c>
      <c r="E76" s="5">
        <f t="shared" si="26"/>
        <v>-0.40227473498233218</v>
      </c>
      <c r="F76" s="7">
        <f>HLOOKUP("ConfirmedTWLY.ConfirmedRevenueOlderFamilySegmentExcludingFODepartureYear",Sheet2!$1:$2,2,FALSE)</f>
        <v>41232</v>
      </c>
      <c r="G76" s="5">
        <f t="shared" si="27"/>
        <v>-8.1029297632906477E-2</v>
      </c>
      <c r="H76" s="7">
        <f>HLOOKUP("ConfirmedTM.ConfirmedRevenueOlderFamilySegmentExcludingFODepartureYear",Sheet2!$1:$2,2,FALSE)</f>
        <v>120553.8</v>
      </c>
      <c r="I76" s="7">
        <f>HLOOKUP("ConfirmedTMLY.ConfirmedRevenueOlderFamilySegmentExcludingFODepartureYear",Sheet2!$1:$2,2,FALSE)</f>
        <v>103539</v>
      </c>
      <c r="J76" s="5">
        <f t="shared" si="28"/>
        <v>0.16433228058992266</v>
      </c>
      <c r="K76" s="7">
        <f>HLOOKUP("ConfirmedTY.ConfirmedRevenueOlderFamilySegmentExcludingFODepartureYear",Sheet2!$1:$2,2,FALSE)</f>
        <v>4222514.97</v>
      </c>
      <c r="L76" s="7">
        <f>HLOOKUP("ConfirmedLY.ConfirmedRevenueOlderFamilySegmentExcludingFODepartureYear",Sheet2!$1:$2,2,FALSE)</f>
        <v>3492479.27</v>
      </c>
      <c r="M76" s="5">
        <f t="shared" si="29"/>
        <v>0.20903078975183143</v>
      </c>
      <c r="N76" s="7">
        <f>HLOOKUP("DepartureYearTY.ConfirmedRevenueOlderFamilySegmentExcludingFO",Sheet2!$1:$2,2,FALSE)</f>
        <v>4780200.04</v>
      </c>
      <c r="O76" s="7">
        <f>HLOOKUP("DepartureYearLY.ConfirmedRevenueOlderFamilySegmentExcludingFO",Sheet2!$1:$2,2,FALSE)</f>
        <v>4028509.8</v>
      </c>
      <c r="P76" s="5">
        <f t="shared" si="30"/>
        <v>0.18659263035676374</v>
      </c>
    </row>
    <row r="77" spans="1:16" x14ac:dyDescent="0.25">
      <c r="A77" s="1" t="s">
        <v>34</v>
      </c>
      <c r="C77" s="7">
        <f>HLOOKUP("ConfirmedTW.ConfirmedRevenueYoungCoupleSegmentExcludingFODepartureYear",Sheet2!$1:$2,2,FALSE)</f>
        <v>23539</v>
      </c>
      <c r="D77" s="7">
        <f>HLOOKUP("ConfirmedLW.ConfirmedRevenueYoungCoupleSegmentExcludingFODepartureYear",Sheet2!$1:$2,2,FALSE)</f>
        <v>25482</v>
      </c>
      <c r="E77" s="5">
        <f t="shared" si="26"/>
        <v>-7.6249901891531274E-2</v>
      </c>
      <c r="F77" s="7">
        <f>HLOOKUP("ConfirmedTWLY.ConfirmedRevenueYoungCoupleSegmentExcludingFODepartureYear",Sheet2!$1:$2,2,FALSE)</f>
        <v>4934</v>
      </c>
      <c r="G77" s="5">
        <f t="shared" si="27"/>
        <v>3.7707742197000407</v>
      </c>
      <c r="H77" s="7">
        <f>HLOOKUP("ConfirmedTM.ConfirmedRevenueYoungCoupleSegmentExcludingFODepartureYear",Sheet2!$1:$2,2,FALSE)</f>
        <v>84790</v>
      </c>
      <c r="I77" s="7">
        <f>HLOOKUP("ConfirmedTMLY.ConfirmedRevenueYoungCoupleSegmentExcludingFODepartureYear",Sheet2!$1:$2,2,FALSE)</f>
        <v>32788</v>
      </c>
      <c r="J77" s="5">
        <f t="shared" si="28"/>
        <v>1.5860070757594242</v>
      </c>
      <c r="K77" s="7">
        <f>HLOOKUP("ConfirmedTY.ConfirmedRevenueYoungCoupleSegmentExcludingFODepartureYear",Sheet2!$1:$2,2,FALSE)</f>
        <v>803002.26</v>
      </c>
      <c r="L77" s="7">
        <f>HLOOKUP("ConfirmedLY.ConfirmedRevenueYoungCoupleSegmentExcludingFODepartureYear",Sheet2!$1:$2,2,FALSE)</f>
        <v>993402.55</v>
      </c>
      <c r="M77" s="5">
        <f t="shared" si="29"/>
        <v>-0.19166478886127283</v>
      </c>
      <c r="N77" s="7">
        <f>HLOOKUP("DepartureYearTY.ConfirmedRevenueYoungCoupleSegmentExcludingFO",Sheet2!$1:$2,2,FALSE)</f>
        <v>914556.74</v>
      </c>
      <c r="O77" s="7">
        <f>HLOOKUP("DepartureYearLY.ConfirmedRevenueYoungCoupleSegmentExcludingFO",Sheet2!$1:$2,2,FALSE)</f>
        <v>1105567.72</v>
      </c>
      <c r="P77" s="5">
        <f t="shared" si="30"/>
        <v>-0.17277184974250151</v>
      </c>
    </row>
    <row r="78" spans="1:16" x14ac:dyDescent="0.25">
      <c r="A78" s="1" t="s">
        <v>35</v>
      </c>
      <c r="C78" s="7">
        <f>HLOOKUP("ConfirmedTW.ConfirmedRevenueOlderCoupleSegmentExcludingFODepartureYear",Sheet2!$1:$2,2,FALSE)</f>
        <v>182558.33</v>
      </c>
      <c r="D78" s="7">
        <f>HLOOKUP("ConfirmedLW.ConfirmedRevenueOlderCoupleSegmentExcludingFODepartureYear",Sheet2!$1:$2,2,FALSE)</f>
        <v>191167.6</v>
      </c>
      <c r="E78" s="5">
        <f t="shared" si="26"/>
        <v>-4.5035194248397838E-2</v>
      </c>
      <c r="F78" s="7">
        <f>HLOOKUP("ConfirmedTWLY.ConfirmedRevenueOlderCoupleSegmentExcludingFODepartureYear",Sheet2!$1:$2,2,FALSE)</f>
        <v>93583.11</v>
      </c>
      <c r="G78" s="5">
        <f t="shared" si="27"/>
        <v>0.95076152096248978</v>
      </c>
      <c r="H78" s="7">
        <f>HLOOKUP("ConfirmedTM.ConfirmedRevenueOlderCoupleSegmentExcludingFODepartureYear",Sheet2!$1:$2,2,FALSE)</f>
        <v>465154.89</v>
      </c>
      <c r="I78" s="7">
        <f>HLOOKUP("ConfirmedTMLY.ConfirmedRevenueOlderCoupleSegmentExcludingFODepartureYear",Sheet2!$1:$2,2,FALSE)</f>
        <v>285245.07</v>
      </c>
      <c r="J78" s="5">
        <f t="shared" si="28"/>
        <v>0.63072017335829855</v>
      </c>
      <c r="K78" s="7">
        <f>HLOOKUP("ConfirmedTY.ConfirmedRevenueOlderCoupleSegmentExcludingFODepartureYear",Sheet2!$1:$2,2,FALSE)</f>
        <v>7212145.5199999996</v>
      </c>
      <c r="L78" s="7">
        <f>HLOOKUP("ConfirmedLY.ConfirmedRevenueOlderCoupleSegmentExcludingFODepartureYear",Sheet2!$1:$2,2,FALSE)</f>
        <v>7016565.6700000102</v>
      </c>
      <c r="M78" s="5">
        <f t="shared" si="29"/>
        <v>2.7874014040260398E-2</v>
      </c>
      <c r="N78" s="7">
        <f>HLOOKUP("DepartureYearTY.ConfirmedRevenueOlderCoupleSegmentExcludingFO",Sheet2!$1:$2,2,FALSE)</f>
        <v>9574068.8100000098</v>
      </c>
      <c r="O78" s="7">
        <f>HLOOKUP("DepartureYearLY.ConfirmedRevenueOlderCoupleSegmentExcludingFO",Sheet2!$1:$2,2,FALSE)</f>
        <v>8926704.4900000095</v>
      </c>
      <c r="P78" s="5">
        <f t="shared" si="30"/>
        <v>7.2519967556358478E-2</v>
      </c>
    </row>
    <row r="79" spans="1:16" x14ac:dyDescent="0.25">
      <c r="A79" s="1" t="s">
        <v>36</v>
      </c>
      <c r="C79" s="7">
        <f>HLOOKUP("ConfirmedTW.ConfirmedRevenueAdultGroupSegmentExcludingFODepartureYear",Sheet2!$1:$2,2,FALSE)</f>
        <v>38030</v>
      </c>
      <c r="D79" s="7">
        <f>HLOOKUP("ConfirmedLW.ConfirmedRevenueAdultGroupSegmentExcludingFODepartureYear",Sheet2!$1:$2,2,FALSE)</f>
        <v>65753.91</v>
      </c>
      <c r="E79" s="5">
        <f t="shared" si="26"/>
        <v>-0.42163135241691335</v>
      </c>
      <c r="F79" s="7">
        <f>HLOOKUP("ConfirmedTWLY.ConfirmedRevenueAdultGroupSegmentExcludingFODepartureYear",Sheet2!$1:$2,2,FALSE)</f>
        <v>24117</v>
      </c>
      <c r="G79" s="5">
        <f t="shared" si="27"/>
        <v>0.57689596550151345</v>
      </c>
      <c r="H79" s="7">
        <f>HLOOKUP("ConfirmedTM.ConfirmedRevenueAdultGroupSegmentExcludingFODepartureYear",Sheet2!$1:$2,2,FALSE)</f>
        <v>145953.91</v>
      </c>
      <c r="I79" s="7">
        <f>HLOOKUP("ConfirmedTMLY.ConfirmedRevenueAdultGroupSegmentExcludingFODepartureYear",Sheet2!$1:$2,2,FALSE)</f>
        <v>85169</v>
      </c>
      <c r="J79" s="5">
        <f t="shared" si="28"/>
        <v>0.71369758949852646</v>
      </c>
      <c r="K79" s="7">
        <f>HLOOKUP("ConfirmedTY.ConfirmedRevenueAdultGroupSegmentExcludingFODepartureYear",Sheet2!$1:$2,2,FALSE)</f>
        <v>5014502.43</v>
      </c>
      <c r="L79" s="7">
        <f>HLOOKUP("ConfirmedLY.ConfirmedRevenueAdultGroupSegmentExcludingFODepartureYear",Sheet2!$1:$2,2,FALSE)</f>
        <v>4373515.18</v>
      </c>
      <c r="M79" s="5">
        <f t="shared" si="29"/>
        <v>0.14656111242764683</v>
      </c>
      <c r="N79" s="7">
        <f>HLOOKUP("DepartureYearTY.ConfirmedRevenueAdultGroupSegmentExcludingFO",Sheet2!$1:$2,2,FALSE)</f>
        <v>6234631.7599999998</v>
      </c>
      <c r="O79" s="7">
        <f>HLOOKUP("DepartureYearLY.ConfirmedRevenueAdultGroupSegmentExcludingFO",Sheet2!$1:$2,2,FALSE)</f>
        <v>5483665.8099999996</v>
      </c>
      <c r="P79" s="5">
        <f t="shared" si="30"/>
        <v>0.13694597300778988</v>
      </c>
    </row>
    <row r="80" spans="1:16" x14ac:dyDescent="0.25">
      <c r="A80" s="1" t="s">
        <v>53</v>
      </c>
      <c r="C80" s="7">
        <f>HLOOKUP("ConfirmedTW.ConfirmedRevenueOtherSegmentExcludingFODepartureYear",Sheet2!$1:$2,2,FALSE)</f>
        <v>1645</v>
      </c>
      <c r="D80" s="7">
        <f>HLOOKUP("ConfirmedLW.ConfirmedRevenueOtherSegmentExcludingFODepartureYear",Sheet2!$1:$2,2,FALSE)</f>
        <v>500</v>
      </c>
      <c r="E80" s="5">
        <f t="shared" si="26"/>
        <v>2.29</v>
      </c>
      <c r="F80" s="7">
        <f>HLOOKUP("ConfirmedTWLY.ConfirmedRevenueOtherSegmentExcludingFODepartureYear",Sheet2!$1:$2,2,FALSE)</f>
        <v>0</v>
      </c>
      <c r="G80" s="5">
        <f t="shared" si="27"/>
        <v>0</v>
      </c>
      <c r="H80" s="7">
        <f>HLOOKUP("ConfirmedTM.ConfirmedRevenueOtherSegmentExcludingFODepartureYear",Sheet2!$1:$2,2,FALSE)</f>
        <v>2145</v>
      </c>
      <c r="I80" s="7">
        <f>HLOOKUP("ConfirmedTMLY.ConfirmedRevenueOtherSegmentExcludingFODepartureYear",Sheet2!$1:$2,2,FALSE)</f>
        <v>12176.56</v>
      </c>
      <c r="J80" s="5">
        <f t="shared" si="28"/>
        <v>-0.82384187323841873</v>
      </c>
      <c r="K80" s="7">
        <f>HLOOKUP("ConfirmedTY.ConfirmedRevenueOtherSegmentExcludingFODepartureYear",Sheet2!$1:$2,2,FALSE)</f>
        <v>102876.13</v>
      </c>
      <c r="L80" s="7">
        <f>HLOOKUP("ConfirmedLY.ConfirmedRevenueOtherSegmentExcludingFODepartureYear",Sheet2!$1:$2,2,FALSE)</f>
        <v>93024.36</v>
      </c>
      <c r="M80" s="5">
        <f t="shared" si="29"/>
        <v>0.10590527040444034</v>
      </c>
      <c r="N80" s="7">
        <f>HLOOKUP("DepartureYearTY.ConfirmedRevenueOtherSegmentExcludingFO",Sheet2!$1:$2,2,FALSE)</f>
        <v>129752.43</v>
      </c>
      <c r="O80" s="7">
        <f>HLOOKUP("DepartureYearLY.ConfirmedRevenueOtherSegmentExcludingFO",Sheet2!$1:$2,2,FALSE)</f>
        <v>101676.82</v>
      </c>
      <c r="P80" s="5">
        <f t="shared" si="30"/>
        <v>0.27612596460038763</v>
      </c>
    </row>
    <row r="81" spans="1:16" x14ac:dyDescent="0.25">
      <c r="A81" s="11" t="s">
        <v>37</v>
      </c>
      <c r="C81" s="7"/>
      <c r="D81" s="7"/>
      <c r="E81" s="5"/>
      <c r="F81" s="7"/>
      <c r="G81" s="5"/>
      <c r="H81" s="7"/>
      <c r="I81" s="7"/>
      <c r="J81" s="5"/>
      <c r="K81" s="7"/>
      <c r="L81" s="7"/>
      <c r="M81" s="5"/>
      <c r="N81" s="7"/>
      <c r="O81" s="7"/>
      <c r="P81" s="5"/>
    </row>
    <row r="82" spans="1:16" x14ac:dyDescent="0.25">
      <c r="A82" s="1" t="s">
        <v>38</v>
      </c>
      <c r="C82" s="7">
        <f>HLOOKUP("ConfirmedTW.ConfirmedRevenueGreeceExcludingFODepartureYear",Sheet2!$1:$2,2,FALSE)</f>
        <v>249066.95</v>
      </c>
      <c r="D82" s="7">
        <f>HLOOKUP("ConfirmedLW.ConfirmedRevenueGreeceExcludingFODepartureYear",Sheet2!$1:$2,2,FALSE)</f>
        <v>291311.92</v>
      </c>
      <c r="E82" s="5">
        <f t="shared" ref="E82:E88" si="31">IFERROR((C82-D82)/D82,0)</f>
        <v>-0.14501627671123096</v>
      </c>
      <c r="F82" s="7">
        <f>HLOOKUP("ConfirmedTWLY.ConfirmedRevenueGreeceExcludingFODepartureYear",Sheet2!$1:$2,2,FALSE)</f>
        <v>125028.29</v>
      </c>
      <c r="G82" s="5">
        <f t="shared" ref="G82:G88" si="32">IFERROR((C82-F82)/F82,0)</f>
        <v>0.99208475137906804</v>
      </c>
      <c r="H82" s="7">
        <f>HLOOKUP("ConfirmedTM.ConfirmedRevenueGreeceExcludingFODepartureYear",Sheet2!$1:$2,2,FALSE)</f>
        <v>697717.87</v>
      </c>
      <c r="I82" s="7">
        <f>HLOOKUP("ConfirmedTMLY.ConfirmedRevenueGreeceExcludingFODepartureYear",Sheet2!$1:$2,2,FALSE)</f>
        <v>373973.89</v>
      </c>
      <c r="J82" s="5">
        <f t="shared" ref="J82:J88" si="33">IFERROR((H82-I82)/I82,0)</f>
        <v>0.86568605097002882</v>
      </c>
      <c r="K82" s="7">
        <f>HLOOKUP("ConfirmedTY.ConfirmedRevenueGreeceExcludingFODepartureYear",Sheet2!$1:$2,2,FALSE)</f>
        <v>12479248.859999999</v>
      </c>
      <c r="L82" s="7">
        <f>HLOOKUP("ConfirmedLY.ConfirmedRevenueGreeceExcludingFODepartureYear",Sheet2!$1:$2,2,FALSE)</f>
        <v>11129989.6</v>
      </c>
      <c r="M82" s="5">
        <f t="shared" ref="M82:M88" si="34">IFERROR((K82-L82)/L82,0)</f>
        <v>0.12122736035620373</v>
      </c>
      <c r="N82" s="7">
        <f>HLOOKUP("DepartureYearTY.ConfirmedRevenueGreeceExcludingFO",Sheet2!$1:$2,2,FALSE)</f>
        <v>15668602.77</v>
      </c>
      <c r="O82" s="7">
        <f>HLOOKUP("DepartureYearLY.ConfirmedRevenueGreeceExcludingFO",Sheet2!$1:$2,2,FALSE)</f>
        <v>14641813.66</v>
      </c>
      <c r="P82" s="5">
        <f t="shared" ref="P82:P88" si="35">IFERROR((N82-O82)/O82,0)</f>
        <v>7.0127180542195161E-2</v>
      </c>
    </row>
    <row r="83" spans="1:16" x14ac:dyDescent="0.25">
      <c r="A83" s="1" t="s">
        <v>39</v>
      </c>
      <c r="C83" s="7">
        <f>HLOOKUP("ConfirmedTW.ConfirmedRevenueMallorcaExcludingFODepartureYear",Sheet2!$1:$2,2,FALSE)</f>
        <v>17524</v>
      </c>
      <c r="D83" s="7">
        <f>HLOOKUP("ConfirmedLW.ConfirmedRevenueMallorcaExcludingFODepartureYear",Sheet2!$1:$2,2,FALSE)</f>
        <v>33205.68</v>
      </c>
      <c r="E83" s="5">
        <f t="shared" si="31"/>
        <v>-0.47225896292441533</v>
      </c>
      <c r="F83" s="7">
        <f>HLOOKUP("ConfirmedTWLY.ConfirmedRevenueMallorcaExcludingFODepartureYear",Sheet2!$1:$2,2,FALSE)</f>
        <v>30147</v>
      </c>
      <c r="G83" s="5">
        <f t="shared" si="32"/>
        <v>-0.41871496334626995</v>
      </c>
      <c r="H83" s="7">
        <f>HLOOKUP("ConfirmedTM.ConfirmedRevenueMallorcaExcludingFODepartureYear",Sheet2!$1:$2,2,FALSE)</f>
        <v>80102.679999999993</v>
      </c>
      <c r="I83" s="7">
        <f>HLOOKUP("ConfirmedTMLY.ConfirmedRevenueMallorcaExcludingFODepartureYear",Sheet2!$1:$2,2,FALSE)</f>
        <v>66573.279999999999</v>
      </c>
      <c r="J83" s="5">
        <f t="shared" si="33"/>
        <v>0.20322567853048543</v>
      </c>
      <c r="K83" s="7">
        <f>HLOOKUP("ConfirmedTY.ConfirmedRevenueMallorcaExcludingFODepartureYear",Sheet2!$1:$2,2,FALSE)</f>
        <v>2034150.34</v>
      </c>
      <c r="L83" s="7">
        <f>HLOOKUP("ConfirmedLY.ConfirmedRevenueMallorcaExcludingFODepartureYear",Sheet2!$1:$2,2,FALSE)</f>
        <v>2194061.7599999998</v>
      </c>
      <c r="M83" s="5">
        <f t="shared" si="34"/>
        <v>-7.288373687347785E-2</v>
      </c>
      <c r="N83" s="7">
        <f>HLOOKUP("DepartureYearTY.ConfirmedRevenueMallorcaExcludingFO",Sheet2!$1:$2,2,FALSE)</f>
        <v>2377042.21</v>
      </c>
      <c r="O83" s="7">
        <f>HLOOKUP("DepartureYearLY.ConfirmedRevenueMallorcaExcludingFO",Sheet2!$1:$2,2,FALSE)</f>
        <v>2534572.15</v>
      </c>
      <c r="P83" s="5">
        <f t="shared" si="35"/>
        <v>-6.2152478081951602E-2</v>
      </c>
    </row>
    <row r="84" spans="1:16" x14ac:dyDescent="0.25">
      <c r="A84" s="1" t="s">
        <v>40</v>
      </c>
      <c r="C84" s="7">
        <f>HLOOKUP("ConfirmedTW.ConfirmedRevenueItalyExcludingFODepartureYear",Sheet2!$1:$2,2,FALSE)</f>
        <v>33934.379999999997</v>
      </c>
      <c r="D84" s="7">
        <f>HLOOKUP("ConfirmedLW.ConfirmedRevenueItalyExcludingFODepartureYear",Sheet2!$1:$2,2,FALSE)</f>
        <v>17353.990000000002</v>
      </c>
      <c r="E84" s="5">
        <f t="shared" si="31"/>
        <v>0.9554223553200154</v>
      </c>
      <c r="F84" s="7">
        <f>HLOOKUP("ConfirmedTWLY.ConfirmedRevenueItalyExcludingFODepartureYear",Sheet2!$1:$2,2,FALSE)</f>
        <v>10645</v>
      </c>
      <c r="G84" s="5">
        <f t="shared" si="32"/>
        <v>2.1878233912635037</v>
      </c>
      <c r="H84" s="7">
        <f>HLOOKUP("ConfirmedTM.ConfirmedRevenueItalyExcludingFODepartureYear",Sheet2!$1:$2,2,FALSE)</f>
        <v>58056.37</v>
      </c>
      <c r="I84" s="7">
        <f>HLOOKUP("ConfirmedTMLY.ConfirmedRevenueItalyExcludingFODepartureYear",Sheet2!$1:$2,2,FALSE)</f>
        <v>21101</v>
      </c>
      <c r="J84" s="5">
        <f t="shared" si="33"/>
        <v>1.7513563338230418</v>
      </c>
      <c r="K84" s="7">
        <f>HLOOKUP("ConfirmedTY.ConfirmedRevenueItalyExcludingFODepartureYear",Sheet2!$1:$2,2,FALSE)</f>
        <v>1178148.6499999999</v>
      </c>
      <c r="L84" s="7">
        <f>HLOOKUP("ConfirmedLY.ConfirmedRevenueItalyExcludingFODepartureYear",Sheet2!$1:$2,2,FALSE)</f>
        <v>1081336.28</v>
      </c>
      <c r="M84" s="5">
        <f t="shared" si="34"/>
        <v>8.9530307815067364E-2</v>
      </c>
      <c r="N84" s="7">
        <f>HLOOKUP("DepartureYearTY.ConfirmedRevenueItalyExcludingFO",Sheet2!$1:$2,2,FALSE)</f>
        <v>1373856.01</v>
      </c>
      <c r="O84" s="7">
        <f>HLOOKUP("DepartureYearLY.ConfirmedRevenueItalyExcludingFO",Sheet2!$1:$2,2,FALSE)</f>
        <v>1197790.96</v>
      </c>
      <c r="P84" s="5">
        <f t="shared" si="35"/>
        <v>0.14699146669131652</v>
      </c>
    </row>
    <row r="85" spans="1:16" x14ac:dyDescent="0.25">
      <c r="A85" s="1" t="s">
        <v>41</v>
      </c>
      <c r="C85" s="7">
        <f>HLOOKUP("ConfirmedTW.ConfirmedRevenueCorsicaExcludingFODepartureYear",Sheet2!$1:$2,2,FALSE)</f>
        <v>54616</v>
      </c>
      <c r="D85" s="7">
        <f>HLOOKUP("ConfirmedLW.ConfirmedRevenueCorsicaExcludingFODepartureYear",Sheet2!$1:$2,2,FALSE)</f>
        <v>57798</v>
      </c>
      <c r="E85" s="5">
        <f t="shared" si="31"/>
        <v>-5.5053808090245335E-2</v>
      </c>
      <c r="F85" s="7">
        <f>HLOOKUP("ConfirmedTWLY.ConfirmedRevenueCorsicaExcludingFODepartureYear",Sheet2!$1:$2,2,FALSE)</f>
        <v>24702</v>
      </c>
      <c r="G85" s="5">
        <f t="shared" si="32"/>
        <v>1.2109950611286535</v>
      </c>
      <c r="H85" s="7">
        <f>HLOOKUP("ConfirmedTM.ConfirmedRevenueCorsicaExcludingFODepartureYear",Sheet2!$1:$2,2,FALSE)</f>
        <v>130746.76</v>
      </c>
      <c r="I85" s="7">
        <f>HLOOKUP("ConfirmedTMLY.ConfirmedRevenueCorsicaExcludingFODepartureYear",Sheet2!$1:$2,2,FALSE)</f>
        <v>108470.56</v>
      </c>
      <c r="J85" s="5">
        <f t="shared" si="33"/>
        <v>0.20536632243808825</v>
      </c>
      <c r="K85" s="7">
        <f>HLOOKUP("ConfirmedTY.ConfirmedRevenueCorsicaExcludingFODepartureYear",Sheet2!$1:$2,2,FALSE)</f>
        <v>3768564.15</v>
      </c>
      <c r="L85" s="7">
        <f>HLOOKUP("ConfirmedLY.ConfirmedRevenueCorsicaExcludingFODepartureYear",Sheet2!$1:$2,2,FALSE)</f>
        <v>4466885.58</v>
      </c>
      <c r="M85" s="5">
        <f t="shared" si="34"/>
        <v>-0.15633295670850833</v>
      </c>
      <c r="N85" s="7">
        <f>HLOOKUP("DepartureYearTY.ConfirmedRevenueCorsicaExcludingFO",Sheet2!$1:$2,2,FALSE)</f>
        <v>4435937.6399999997</v>
      </c>
      <c r="O85" s="7">
        <f>HLOOKUP("DepartureYearLY.ConfirmedRevenueCorsicaExcludingFO",Sheet2!$1:$2,2,FALSE)</f>
        <v>4961636.75</v>
      </c>
      <c r="P85" s="5">
        <f t="shared" si="35"/>
        <v>-0.10595276044744717</v>
      </c>
    </row>
    <row r="86" spans="1:16" x14ac:dyDescent="0.25">
      <c r="A86" s="1" t="s">
        <v>42</v>
      </c>
      <c r="C86" s="7">
        <f>HLOOKUP("ConfirmedTW.ConfirmedRevenueTurkeyExcludingFODepartureYear",Sheet2!$1:$2,2,FALSE)</f>
        <v>45072</v>
      </c>
      <c r="D86" s="7">
        <f>HLOOKUP("ConfirmedLW.ConfirmedRevenueTurkeyExcludingFODepartureYear",Sheet2!$1:$2,2,FALSE)</f>
        <v>67211.92</v>
      </c>
      <c r="E86" s="5">
        <f t="shared" si="31"/>
        <v>-0.32940466512487665</v>
      </c>
      <c r="F86" s="7">
        <f>HLOOKUP("ConfirmedTWLY.ConfirmedRevenueTurkeyExcludingFODepartureYear",Sheet2!$1:$2,2,FALSE)</f>
        <v>42056</v>
      </c>
      <c r="G86" s="5">
        <f t="shared" si="32"/>
        <v>7.1713905269164921E-2</v>
      </c>
      <c r="H86" s="7">
        <f>HLOOKUP("ConfirmedTM.ConfirmedRevenueTurkeyExcludingFODepartureYear",Sheet2!$1:$2,2,FALSE)</f>
        <v>145834.92000000001</v>
      </c>
      <c r="I86" s="7">
        <f>HLOOKUP("ConfirmedTMLY.ConfirmedRevenueTurkeyExcludingFODepartureYear",Sheet2!$1:$2,2,FALSE)</f>
        <v>109448.56</v>
      </c>
      <c r="J86" s="5">
        <f t="shared" si="33"/>
        <v>0.33245170151165093</v>
      </c>
      <c r="K86" s="7">
        <f>HLOOKUP("ConfirmedTY.ConfirmedRevenueTurkeyExcludingFODepartureYear",Sheet2!$1:$2,2,FALSE)</f>
        <v>3254630.18</v>
      </c>
      <c r="L86" s="7">
        <f>HLOOKUP("ConfirmedLY.ConfirmedRevenueTurkeyExcludingFODepartureYear",Sheet2!$1:$2,2,FALSE)</f>
        <v>2952570.14</v>
      </c>
      <c r="M86" s="5">
        <f t="shared" si="34"/>
        <v>0.10230410309575237</v>
      </c>
      <c r="N86" s="7">
        <f>HLOOKUP("DepartureYearTY.ConfirmedRevenueTurkeyExcludingFO",Sheet2!$1:$2,2,FALSE)</f>
        <v>4366584.5999999996</v>
      </c>
      <c r="O86" s="7">
        <f>HLOOKUP("DepartureYearLY.ConfirmedRevenueTurkeyExcludingFO",Sheet2!$1:$2,2,FALSE)</f>
        <v>3199808.53</v>
      </c>
      <c r="P86" s="5">
        <f t="shared" si="35"/>
        <v>0.36463933984199981</v>
      </c>
    </row>
    <row r="87" spans="1:16" x14ac:dyDescent="0.25">
      <c r="A87" s="1" t="s">
        <v>43</v>
      </c>
      <c r="C87" s="7">
        <f>HLOOKUP("ConfirmedTW.ConfirmedRevenueFranceExcludingAquitaineExcludingFODepartureYear",Sheet2!$1:$2,2,FALSE)</f>
        <v>2800</v>
      </c>
      <c r="D87" s="7">
        <f>HLOOKUP("ConfirmedLW.ConfirmedRevenueFranceExcludingAquitaineExcludingFODepartureYear",Sheet2!$1:$2,2,FALSE)</f>
        <v>18856</v>
      </c>
      <c r="E87" s="5">
        <f t="shared" si="31"/>
        <v>-0.85150615188799317</v>
      </c>
      <c r="F87" s="7">
        <f>HLOOKUP("ConfirmedTWLY.ConfirmedRevenueFranceExcludingAquitaineExcludingFODepartureYear",Sheet2!$1:$2,2,FALSE)</f>
        <v>4400</v>
      </c>
      <c r="G87" s="5">
        <f t="shared" si="32"/>
        <v>-0.36363636363636365</v>
      </c>
      <c r="H87" s="7">
        <f>HLOOKUP("ConfirmedTM.ConfirmedRevenueFranceExcludingAquitaineExcludingFODepartureYear",Sheet2!$1:$2,2,FALSE)</f>
        <v>28461</v>
      </c>
      <c r="I87" s="7">
        <f>HLOOKUP("ConfirmedTMLY.ConfirmedRevenueFranceExcludingAquitaineExcludingFODepartureYear",Sheet2!$1:$2,2,FALSE)</f>
        <v>17283</v>
      </c>
      <c r="J87" s="5">
        <f t="shared" si="33"/>
        <v>0.6467627148064572</v>
      </c>
      <c r="K87" s="7">
        <f>HLOOKUP("ConfirmedTY.ConfirmedRevenueFranceExcludingAquitaineExcludingFODepartureYear",Sheet2!$1:$2,2,FALSE)</f>
        <v>935604.92</v>
      </c>
      <c r="L87" s="7">
        <f>HLOOKUP("ConfirmedLY.ConfirmedRevenueFranceExcludingAquitaineExcludingFODepartureYear",Sheet2!$1:$2,2,FALSE)</f>
        <v>1130257.57</v>
      </c>
      <c r="M87" s="5">
        <f t="shared" si="34"/>
        <v>-0.17221972687163689</v>
      </c>
      <c r="N87" s="7">
        <f>HLOOKUP("DepartureYearTY.ConfirmedRevenueFranceExcludingAquitaineExcludingFO",Sheet2!$1:$2,2,FALSE)</f>
        <v>1154084.72</v>
      </c>
      <c r="O87" s="7">
        <f>HLOOKUP("DepartureYearLY.ConfirmedRevenueFranceExcludingAquitaineExcludingFO",Sheet2!$1:$2,2,FALSE)</f>
        <v>1390029.31</v>
      </c>
      <c r="P87" s="5">
        <f t="shared" si="35"/>
        <v>-0.16974073014330904</v>
      </c>
    </row>
    <row r="88" spans="1:16" x14ac:dyDescent="0.25">
      <c r="A88" s="1" t="s">
        <v>44</v>
      </c>
      <c r="C88" s="7">
        <f>HLOOKUP("ConfirmedTW.ConfirmedRevenueFranceExcludingFODepartureYear",Sheet2!$1:$2,2,FALSE)</f>
        <v>2800</v>
      </c>
      <c r="D88" s="7">
        <f>HLOOKUP("ConfirmedLW.ConfirmedRevenueFranceExcludingFODepartureYear",Sheet2!$1:$2,2,FALSE)</f>
        <v>50536</v>
      </c>
      <c r="E88" s="5">
        <f t="shared" si="31"/>
        <v>-0.94459395282570846</v>
      </c>
      <c r="F88" s="7">
        <f>HLOOKUP("ConfirmedTWLY.ConfirmedRevenueFranceExcludingFODepartureYear",Sheet2!$1:$2,2,FALSE)</f>
        <v>4400</v>
      </c>
      <c r="G88" s="5">
        <f t="shared" si="32"/>
        <v>-0.36363636363636365</v>
      </c>
      <c r="H88" s="7">
        <f>HLOOKUP("ConfirmedTM.ConfirmedRevenueFranceExcludingFODepartureYear",Sheet2!$1:$2,2,FALSE)</f>
        <v>61741</v>
      </c>
      <c r="I88" s="7">
        <f>HLOOKUP("ConfirmedTMLY.ConfirmedRevenueFranceExcludingFODepartureYear",Sheet2!$1:$2,2,FALSE)</f>
        <v>17283</v>
      </c>
      <c r="J88" s="5">
        <f t="shared" si="33"/>
        <v>2.5723543366313719</v>
      </c>
      <c r="K88" s="7">
        <f>HLOOKUP("ConfirmedTY.ConfirmedRevenueFranceExcludingFODepartureYear",Sheet2!$1:$2,2,FALSE)</f>
        <v>1913699.6</v>
      </c>
      <c r="L88" s="7">
        <f>HLOOKUP("ConfirmedLY.ConfirmedRevenueFranceExcludingFODepartureYear",Sheet2!$1:$2,2,FALSE)</f>
        <v>1130257.57</v>
      </c>
      <c r="M88" s="5">
        <f t="shared" si="34"/>
        <v>0.69315353490620724</v>
      </c>
      <c r="N88" s="7">
        <f>HLOOKUP("DepartureYearTY.ConfirmedRevenueFranceExcludingFO",Sheet2!$1:$2,2,FALSE)</f>
        <v>2088834.4</v>
      </c>
      <c r="O88" s="7">
        <f>HLOOKUP("DepartureYearLY.ConfirmedRevenueFranceExcludingFO",Sheet2!$1:$2,2,FALSE)</f>
        <v>1390029.31</v>
      </c>
      <c r="P88" s="5">
        <f t="shared" si="35"/>
        <v>0.50272687415490525</v>
      </c>
    </row>
    <row r="89" spans="1:16" x14ac:dyDescent="0.25">
      <c r="A89" s="11" t="s">
        <v>56</v>
      </c>
      <c r="C89" s="7"/>
      <c r="D89" s="7"/>
      <c r="E89" s="5"/>
      <c r="F89" s="7"/>
      <c r="G89" s="5"/>
      <c r="H89" s="7"/>
      <c r="I89" s="7"/>
      <c r="J89" s="5"/>
      <c r="K89" s="7"/>
      <c r="L89" s="7"/>
      <c r="M89" s="5"/>
      <c r="N89" s="7"/>
      <c r="O89" s="7"/>
      <c r="P89" s="5"/>
    </row>
    <row r="90" spans="1:16" x14ac:dyDescent="0.25">
      <c r="A90" s="1" t="s">
        <v>45</v>
      </c>
      <c r="C90" s="7">
        <f>HLOOKUP("ConfirmedTW.ConfirmedRevenueMayDepartureExcludingFODepartureYear",Sheet2!$1:$2,2,FALSE)</f>
        <v>0</v>
      </c>
      <c r="D90" s="7">
        <f>HLOOKUP("ConfirmedLW.ConfirmedRevenueMayDepartureExcludingFODepartureYear",Sheet2!$1:$2,2,FALSE)</f>
        <v>0</v>
      </c>
      <c r="E90" s="5">
        <f t="shared" ref="E90:E95" si="36">IFERROR((C90-D90)/D90,0)</f>
        <v>0</v>
      </c>
      <c r="F90" s="7">
        <f>HLOOKUP("ConfirmedTWLY.ConfirmedRevenueMayDepartureExcludingFODepartureYear",Sheet2!$1:$2,2,FALSE)</f>
        <v>0</v>
      </c>
      <c r="G90" s="5">
        <f t="shared" ref="G90:G95" si="37">IFERROR((C90-F90)/F90,0)</f>
        <v>0</v>
      </c>
      <c r="H90" s="7">
        <f>HLOOKUP("ConfirmedTM.ConfirmedRevenueMayDepartureExcludingFODepartureYear",Sheet2!$1:$2,2,FALSE)</f>
        <v>0</v>
      </c>
      <c r="I90" s="7">
        <f>HLOOKUP("ConfirmedTMLY.ConfirmedRevenueMayDepartureExcludingFODepartureYear",Sheet2!$1:$2,2,FALSE)</f>
        <v>0</v>
      </c>
      <c r="J90" s="5">
        <f t="shared" ref="J90:J95" si="38">IFERROR((H90-I90)/I90,0)</f>
        <v>0</v>
      </c>
      <c r="K90" s="7">
        <f>HLOOKUP("ConfirmedTY.ConfirmedRevenueMayDepartureExcludingFODepartureYear",Sheet2!$1:$2,2,FALSE)</f>
        <v>1784673.04</v>
      </c>
      <c r="L90" s="7">
        <f>HLOOKUP("ConfirmedLY.ConfirmedRevenueMayDepartureExcludingFODepartureYear",Sheet2!$1:$2,2,FALSE)</f>
        <v>2076050.61</v>
      </c>
      <c r="M90" s="5">
        <f t="shared" ref="M90:M95" si="39">IFERROR((K90-L90)/L90,0)</f>
        <v>-0.14035186261668256</v>
      </c>
      <c r="N90" s="7">
        <f>HLOOKUP("DepartureYearTY.ConfirmedRevenueMayDepartureExcludingFO",Sheet2!$1:$2,2,FALSE)</f>
        <v>2534725.09</v>
      </c>
      <c r="O90" s="7">
        <f>HLOOKUP("DepartureYearLY.ConfirmedRevenueMayDepartureExcludingFO",Sheet2!$1:$2,2,FALSE)</f>
        <v>2575953.2200000002</v>
      </c>
      <c r="P90" s="5">
        <f t="shared" ref="P90:P95" si="40">IFERROR((N90-O90)/O90,0)</f>
        <v>-1.6004999500728648E-2</v>
      </c>
    </row>
    <row r="91" spans="1:16" x14ac:dyDescent="0.25">
      <c r="A91" s="1" t="s">
        <v>46</v>
      </c>
      <c r="C91" s="7">
        <f>HLOOKUP("ConfirmedTW.ConfirmedRevenueJuneDepartureExcludingFODepartureYear",Sheet2!$1:$2,2,FALSE)</f>
        <v>0</v>
      </c>
      <c r="D91" s="7">
        <f>HLOOKUP("ConfirmedLW.ConfirmedRevenueJuneDepartureExcludingFODepartureYear",Sheet2!$1:$2,2,FALSE)</f>
        <v>0</v>
      </c>
      <c r="E91" s="5">
        <f t="shared" si="36"/>
        <v>0</v>
      </c>
      <c r="F91" s="7">
        <f>HLOOKUP("ConfirmedTWLY.ConfirmedRevenueJuneDepartureExcludingFODepartureYear",Sheet2!$1:$2,2,FALSE)</f>
        <v>0</v>
      </c>
      <c r="G91" s="5">
        <f t="shared" si="37"/>
        <v>0</v>
      </c>
      <c r="H91" s="7">
        <f>HLOOKUP("ConfirmedTM.ConfirmedRevenueJuneDepartureExcludingFODepartureYear",Sheet2!$1:$2,2,FALSE)</f>
        <v>0</v>
      </c>
      <c r="I91" s="7">
        <f>HLOOKUP("ConfirmedTMLY.ConfirmedRevenueJuneDepartureExcludingFODepartureYear",Sheet2!$1:$2,2,FALSE)</f>
        <v>0</v>
      </c>
      <c r="J91" s="5">
        <f t="shared" si="38"/>
        <v>0</v>
      </c>
      <c r="K91" s="7">
        <f>HLOOKUP("ConfirmedTY.ConfirmedRevenueJuneDepartureExcludingFODepartureYear",Sheet2!$1:$2,2,FALSE)</f>
        <v>4234792.8600000003</v>
      </c>
      <c r="L91" s="7">
        <f>HLOOKUP("ConfirmedLY.ConfirmedRevenueJuneDepartureExcludingFODepartureYear",Sheet2!$1:$2,2,FALSE)</f>
        <v>3744459.48</v>
      </c>
      <c r="M91" s="5">
        <f t="shared" si="39"/>
        <v>0.13094904154230569</v>
      </c>
      <c r="N91" s="7">
        <f>HLOOKUP("DepartureYearTY.ConfirmedRevenueJuneDepartureExcludingFO",Sheet2!$1:$2,2,FALSE)</f>
        <v>5859711.4199999999</v>
      </c>
      <c r="O91" s="7">
        <f>HLOOKUP("DepartureYearLY.ConfirmedRevenueJuneDepartureExcludingFO",Sheet2!$1:$2,2,FALSE)</f>
        <v>5061896.3500000099</v>
      </c>
      <c r="P91" s="5">
        <f t="shared" si="40"/>
        <v>0.15761189381129634</v>
      </c>
    </row>
    <row r="92" spans="1:16" x14ac:dyDescent="0.25">
      <c r="A92" s="1" t="s">
        <v>47</v>
      </c>
      <c r="C92" s="7">
        <f>HLOOKUP("ConfirmedTW.ConfirmedRevenueJulyDepartureExcludingFODepartureYear",Sheet2!$1:$2,2,FALSE)</f>
        <v>0</v>
      </c>
      <c r="D92" s="7">
        <f>HLOOKUP("ConfirmedLW.ConfirmedRevenueJulyDepartureExcludingFODepartureYear",Sheet2!$1:$2,2,FALSE)</f>
        <v>0</v>
      </c>
      <c r="E92" s="5">
        <f t="shared" si="36"/>
        <v>0</v>
      </c>
      <c r="F92" s="7">
        <f>HLOOKUP("ConfirmedTWLY.ConfirmedRevenueJulyDepartureExcludingFODepartureYear",Sheet2!$1:$2,2,FALSE)</f>
        <v>0</v>
      </c>
      <c r="G92" s="5">
        <f t="shared" si="37"/>
        <v>0</v>
      </c>
      <c r="H92" s="7">
        <f>HLOOKUP("ConfirmedTM.ConfirmedRevenueJulyDepartureExcludingFODepartureYear",Sheet2!$1:$2,2,FALSE)</f>
        <v>0</v>
      </c>
      <c r="I92" s="7">
        <f>HLOOKUP("ConfirmedTMLY.ConfirmedRevenueJulyDepartureExcludingFODepartureYear",Sheet2!$1:$2,2,FALSE)</f>
        <v>0</v>
      </c>
      <c r="J92" s="5">
        <f t="shared" si="38"/>
        <v>0</v>
      </c>
      <c r="K92" s="7">
        <f>HLOOKUP("ConfirmedTY.ConfirmedRevenueJulyDepartureExcludingFODepartureYear",Sheet2!$1:$2,2,FALSE)</f>
        <v>6312930.1699999999</v>
      </c>
      <c r="L92" s="7">
        <f>HLOOKUP("ConfirmedLY.ConfirmedRevenueJulyDepartureExcludingFODepartureYear",Sheet2!$1:$2,2,FALSE)</f>
        <v>6342916.5199999996</v>
      </c>
      <c r="M92" s="5">
        <f t="shared" si="39"/>
        <v>-4.7275334470269249E-3</v>
      </c>
      <c r="N92" s="7">
        <f>HLOOKUP("DepartureYearTY.ConfirmedRevenueJulyDepartureExcludingFO",Sheet2!$1:$2,2,FALSE)</f>
        <v>7473891.1799999997</v>
      </c>
      <c r="O92" s="7">
        <f>HLOOKUP("DepartureYearLY.ConfirmedRevenueJulyDepartureExcludingFO",Sheet2!$1:$2,2,FALSE)</f>
        <v>7772329.0800000001</v>
      </c>
      <c r="P92" s="5">
        <f t="shared" si="40"/>
        <v>-3.8397486381263772E-2</v>
      </c>
    </row>
    <row r="93" spans="1:16" x14ac:dyDescent="0.25">
      <c r="A93" s="1" t="s">
        <v>48</v>
      </c>
      <c r="C93" s="7">
        <f>HLOOKUP("ConfirmedTW.ConfirmedRevenueAugustDepartureExcludingFODepartureYear",Sheet2!$1:$2,2,FALSE)</f>
        <v>182473</v>
      </c>
      <c r="D93" s="7">
        <f>HLOOKUP("ConfirmedLW.ConfirmedRevenueAugustDepartureExcludingFODepartureYear",Sheet2!$1:$2,2,FALSE)</f>
        <v>248336.97</v>
      </c>
      <c r="E93" s="5">
        <f t="shared" si="36"/>
        <v>-0.26522015630616741</v>
      </c>
      <c r="F93" s="7">
        <f>HLOOKUP("ConfirmedTWLY.ConfirmedRevenueAugustDepartureExcludingFODepartureYear",Sheet2!$1:$2,2,FALSE)</f>
        <v>130020.61</v>
      </c>
      <c r="G93" s="5">
        <f t="shared" si="37"/>
        <v>0.40341596613029274</v>
      </c>
      <c r="H93" s="7">
        <f>HLOOKUP("ConfirmedTM.ConfirmedRevenueAugustDepartureExcludingFODepartureYear",Sheet2!$1:$2,2,FALSE)</f>
        <v>545616.97</v>
      </c>
      <c r="I93" s="7">
        <f>HLOOKUP("ConfirmedTMLY.ConfirmedRevenueAugustDepartureExcludingFODepartureYear",Sheet2!$1:$2,2,FALSE)</f>
        <v>356542.97</v>
      </c>
      <c r="J93" s="5">
        <f t="shared" si="38"/>
        <v>0.53029793295321459</v>
      </c>
      <c r="K93" s="7">
        <f>HLOOKUP("ConfirmedTY.ConfirmedRevenueAugustDepartureExcludingFODepartureYear",Sheet2!$1:$2,2,FALSE)</f>
        <v>7560004.7400000002</v>
      </c>
      <c r="L93" s="7">
        <f>HLOOKUP("ConfirmedLY.ConfirmedRevenueAugustDepartureExcludingFODepartureYear",Sheet2!$1:$2,2,FALSE)</f>
        <v>6340839.1100000003</v>
      </c>
      <c r="M93" s="5">
        <f t="shared" si="39"/>
        <v>0.19227197045218827</v>
      </c>
      <c r="N93" s="7">
        <f>HLOOKUP("DepartureYearTY.ConfirmedRevenueAugustDepartureExcludingFO",Sheet2!$1:$2,2,FALSE)</f>
        <v>8661513.4800000004</v>
      </c>
      <c r="O93" s="7">
        <f>HLOOKUP("DepartureYearLY.ConfirmedRevenueAugustDepartureExcludingFO",Sheet2!$1:$2,2,FALSE)</f>
        <v>7249111.4299999997</v>
      </c>
      <c r="P93" s="5">
        <f t="shared" si="40"/>
        <v>0.19483795547063357</v>
      </c>
    </row>
    <row r="94" spans="1:16" x14ac:dyDescent="0.25">
      <c r="A94" s="1" t="s">
        <v>49</v>
      </c>
      <c r="C94" s="7">
        <f>HLOOKUP("ConfirmedTW.ConfirmedRevenueSeptemberDepartureExcludingFODepartureYear",Sheet2!$1:$2,2,FALSE)</f>
        <v>173001.34</v>
      </c>
      <c r="D94" s="7">
        <f>HLOOKUP("ConfirmedLW.ConfirmedRevenueSeptemberDepartureExcludingFODepartureYear",Sheet2!$1:$2,2,FALSE)</f>
        <v>182375.58</v>
      </c>
      <c r="E94" s="5">
        <f t="shared" si="36"/>
        <v>-5.1400741261521915E-2</v>
      </c>
      <c r="F94" s="7">
        <f>HLOOKUP("ConfirmedTWLY.ConfirmedRevenueSeptemberDepartureExcludingFODepartureYear",Sheet2!$1:$2,2,FALSE)</f>
        <v>68973.679999999993</v>
      </c>
      <c r="G94" s="5">
        <f t="shared" si="37"/>
        <v>1.50822255677818</v>
      </c>
      <c r="H94" s="7">
        <f>HLOOKUP("ConfirmedTM.ConfirmedRevenueSeptemberDepartureExcludingFODepartureYear",Sheet2!$1:$2,2,FALSE)</f>
        <v>469380.68</v>
      </c>
      <c r="I94" s="7">
        <f>HLOOKUP("ConfirmedTMLY.ConfirmedRevenueSeptemberDepartureExcludingFODepartureYear",Sheet2!$1:$2,2,FALSE)</f>
        <v>251607.14</v>
      </c>
      <c r="J94" s="5">
        <f t="shared" si="38"/>
        <v>0.86553004815364132</v>
      </c>
      <c r="K94" s="7">
        <f>HLOOKUP("ConfirmedTY.ConfirmedRevenueSeptemberDepartureExcludingFODepartureYear",Sheet2!$1:$2,2,FALSE)</f>
        <v>3933402.95</v>
      </c>
      <c r="L94" s="7">
        <f>HLOOKUP("ConfirmedLY.ConfirmedRevenueSeptemberDepartureExcludingFODepartureYear",Sheet2!$1:$2,2,FALSE)</f>
        <v>3762510.61</v>
      </c>
      <c r="M94" s="5">
        <f t="shared" si="39"/>
        <v>4.5419762949186829E-2</v>
      </c>
      <c r="N94" s="7">
        <f>HLOOKUP("DepartureYearTY.ConfirmedRevenueSeptemberDepartureExcludingFO",Sheet2!$1:$2,2,FALSE)</f>
        <v>4963610.0999999996</v>
      </c>
      <c r="O94" s="7">
        <f>HLOOKUP("DepartureYearLY.ConfirmedRevenueSeptemberDepartureExcludingFO",Sheet2!$1:$2,2,FALSE)</f>
        <v>4531756.54</v>
      </c>
      <c r="P94" s="5">
        <f t="shared" si="40"/>
        <v>9.5294960395202424E-2</v>
      </c>
    </row>
    <row r="95" spans="1:16" x14ac:dyDescent="0.25">
      <c r="A95" s="1" t="s">
        <v>50</v>
      </c>
      <c r="C95" s="7">
        <f>HLOOKUP("ConfirmedTW.ConfirmedRevenueOctoberDepartureExcludingFODepartureYear",Sheet2!$1:$2,2,FALSE)</f>
        <v>47538.99</v>
      </c>
      <c r="D95" s="7">
        <f>HLOOKUP("ConfirmedLW.ConfirmedRevenueOctoberDepartureExcludingFODepartureYear",Sheet2!$1:$2,2,FALSE)</f>
        <v>62854.96</v>
      </c>
      <c r="E95" s="5">
        <f t="shared" si="36"/>
        <v>-0.24367162114175239</v>
      </c>
      <c r="F95" s="7">
        <f>HLOOKUP("ConfirmedTWLY.ConfirmedRevenueOctoberDepartureExcludingFODepartureYear",Sheet2!$1:$2,2,FALSE)</f>
        <v>37984</v>
      </c>
      <c r="G95" s="5">
        <f t="shared" si="37"/>
        <v>0.2515530223251895</v>
      </c>
      <c r="H95" s="7">
        <f>HLOOKUP("ConfirmedTM.ConfirmedRevenueOctoberDepartureExcludingFODepartureYear",Sheet2!$1:$2,2,FALSE)</f>
        <v>135351.95000000001</v>
      </c>
      <c r="I95" s="7">
        <f>HLOOKUP("ConfirmedTMLY.ConfirmedRevenueOctoberDepartureExcludingFODepartureYear",Sheet2!$1:$2,2,FALSE)</f>
        <v>88700.18</v>
      </c>
      <c r="J95" s="5">
        <f t="shared" si="38"/>
        <v>0.5259489890550394</v>
      </c>
      <c r="K95" s="7">
        <f>HLOOKUP("ConfirmedTY.ConfirmedRevenueOctoberDepartureExcludingFODepartureYear",Sheet2!$1:$2,2,FALSE)</f>
        <v>624545.32999999996</v>
      </c>
      <c r="L95" s="7">
        <f>HLOOKUP("ConfirmedLY.ConfirmedRevenueOctoberDepartureExcludingFODepartureYear",Sheet2!$1:$2,2,FALSE)</f>
        <v>581289.86</v>
      </c>
      <c r="M95" s="5">
        <f t="shared" si="39"/>
        <v>7.4412909937909416E-2</v>
      </c>
      <c r="N95" s="7">
        <f>HLOOKUP("DepartureYearTY.ConfirmedRevenueOctoberDepartureExcludingFO",Sheet2!$1:$2,2,FALSE)</f>
        <v>666757.82999999996</v>
      </c>
      <c r="O95" s="7">
        <f>HLOOKUP("DepartureYearLY.ConfirmedRevenueOctoberDepartureExcludingFO",Sheet2!$1:$2,2,FALSE)</f>
        <v>606107.93000000005</v>
      </c>
      <c r="P95" s="5">
        <f t="shared" si="40"/>
        <v>0.10006452151186984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ZB2"/>
  <sheetViews>
    <sheetView topLeftCell="AYP1" zoomScale="70" zoomScaleNormal="70" workbookViewId="0">
      <selection sqref="A1:XFD2"/>
    </sheetView>
  </sheetViews>
  <sheetFormatPr defaultColWidth="8.85546875" defaultRowHeight="15" x14ac:dyDescent="0.25"/>
  <cols>
    <col min="1" max="1" width="11.140625" customWidth="1"/>
    <col min="2" max="2" width="22" customWidth="1"/>
    <col min="3" max="3" width="8.42578125" customWidth="1"/>
    <col min="4" max="4" width="7.140625" customWidth="1"/>
    <col min="5" max="5" width="15.7109375" customWidth="1"/>
    <col min="6" max="6" width="15.42578125" customWidth="1"/>
    <col min="7" max="7" width="18.140625" customWidth="1"/>
    <col min="8" max="8" width="17.85546875" customWidth="1"/>
    <col min="9" max="9" width="15.28515625" customWidth="1"/>
    <col min="10" max="10" width="9.28515625" customWidth="1"/>
    <col min="11" max="11" width="15.85546875" customWidth="1"/>
    <col min="12" max="12" width="14.42578125" customWidth="1"/>
    <col min="13" max="14" width="22" customWidth="1"/>
    <col min="15" max="15" width="14.42578125" customWidth="1"/>
    <col min="16" max="16" width="11.140625" customWidth="1"/>
    <col min="17" max="17" width="18.42578125" customWidth="1"/>
    <col min="18" max="19" width="23.42578125" customWidth="1"/>
    <col min="20" max="20" width="9.140625" customWidth="1"/>
    <col min="21" max="22" width="29.140625" customWidth="1"/>
    <col min="23" max="23" width="28.7109375" customWidth="1"/>
    <col min="24" max="25" width="22.140625" customWidth="1"/>
    <col min="26" max="27" width="22.42578125" customWidth="1"/>
    <col min="28" max="28" width="58.28515625" customWidth="1"/>
    <col min="29" max="29" width="58.140625" customWidth="1"/>
    <col min="30" max="30" width="48.7109375" customWidth="1"/>
    <col min="31" max="31" width="70.7109375" customWidth="1"/>
    <col min="32" max="32" width="70.42578125" customWidth="1"/>
    <col min="33" max="33" width="78.140625" customWidth="1"/>
    <col min="34" max="34" width="73.85546875" customWidth="1"/>
    <col min="35" max="35" width="77.85546875" customWidth="1"/>
    <col min="36" max="36" width="73.42578125" customWidth="1"/>
    <col min="37" max="37" width="65.7109375" customWidth="1"/>
    <col min="38" max="38" width="62.140625" customWidth="1"/>
    <col min="39" max="39" width="75.85546875" customWidth="1"/>
    <col min="40" max="40" width="75.7109375" customWidth="1"/>
    <col min="41" max="41" width="62.42578125" customWidth="1"/>
    <col min="42" max="42" width="68.7109375" customWidth="1"/>
    <col min="43" max="43" width="84.85546875" customWidth="1"/>
    <col min="44" max="44" width="87.7109375" customWidth="1"/>
    <col min="45" max="45" width="86.28515625" customWidth="1"/>
    <col min="46" max="46" width="88.42578125" customWidth="1"/>
    <col min="47" max="47" width="87.140625" customWidth="1"/>
    <col min="48" max="48" width="86" customWidth="1"/>
    <col min="49" max="49" width="80.28515625" customWidth="1"/>
    <col min="50" max="50" width="73.42578125" customWidth="1"/>
    <col min="51" max="51" width="74.28515625" customWidth="1"/>
    <col min="52" max="52" width="69.7109375" customWidth="1"/>
    <col min="53" max="53" width="73.42578125" customWidth="1"/>
    <col min="54" max="54" width="72.42578125" customWidth="1"/>
    <col min="55" max="55" width="90" customWidth="1"/>
    <col min="56" max="56" width="73" customWidth="1"/>
    <col min="57" max="57" width="79.7109375" customWidth="1"/>
    <col min="58" max="58" width="80.42578125" customWidth="1"/>
    <col min="59" max="59" width="79.42578125" customWidth="1"/>
    <col min="60" max="60" width="82.85546875" customWidth="1"/>
    <col min="61" max="61" width="86.42578125" customWidth="1"/>
    <col min="62" max="62" width="83.85546875" customWidth="1"/>
    <col min="63" max="63" width="75.7109375" customWidth="1"/>
    <col min="64" max="64" width="75.42578125" customWidth="1"/>
    <col min="65" max="65" width="62.140625" customWidth="1"/>
    <col min="66" max="66" width="68.42578125" customWidth="1"/>
    <col min="67" max="67" width="84.42578125" customWidth="1"/>
    <col min="68" max="68" width="87.28515625" customWidth="1"/>
    <col min="69" max="69" width="86" customWidth="1"/>
    <col min="70" max="70" width="88.28515625" customWidth="1"/>
    <col min="71" max="71" width="86.85546875" customWidth="1"/>
    <col min="72" max="72" width="85.85546875" customWidth="1"/>
    <col min="73" max="73" width="80.140625" customWidth="1"/>
    <col min="74" max="74" width="73.140625" customWidth="1"/>
    <col min="75" max="75" width="74" customWidth="1"/>
    <col min="76" max="76" width="69.42578125" customWidth="1"/>
    <col min="77" max="77" width="73.140625" customWidth="1"/>
    <col min="78" max="78" width="72.42578125" customWidth="1"/>
    <col min="79" max="79" width="91" customWidth="1"/>
    <col min="80" max="80" width="72.85546875" customWidth="1"/>
    <col min="81" max="81" width="79.42578125" customWidth="1"/>
    <col min="82" max="82" width="80.28515625" customWidth="1"/>
    <col min="83" max="83" width="79.28515625" customWidth="1"/>
    <col min="84" max="84" width="82.42578125" customWidth="1"/>
    <col min="85" max="85" width="86.28515625" customWidth="1"/>
    <col min="86" max="86" width="83.42578125" customWidth="1"/>
    <col min="87" max="87" width="58.28515625" customWidth="1"/>
    <col min="88" max="88" width="58.140625" customWidth="1"/>
    <col min="89" max="89" width="48.7109375" customWidth="1"/>
    <col min="90" max="90" width="70.7109375" customWidth="1"/>
    <col min="91" max="91" width="70.42578125" customWidth="1"/>
    <col min="92" max="92" width="78.140625" customWidth="1"/>
    <col min="93" max="93" width="73.85546875" customWidth="1"/>
    <col min="94" max="94" width="77.85546875" customWidth="1"/>
    <col min="95" max="95" width="73.42578125" customWidth="1"/>
    <col min="96" max="96" width="65.7109375" customWidth="1"/>
    <col min="97" max="97" width="62.140625" customWidth="1"/>
    <col min="98" max="98" width="75.85546875" customWidth="1"/>
    <col min="99" max="99" width="75.7109375" customWidth="1"/>
    <col min="100" max="100" width="62.42578125" customWidth="1"/>
    <col min="101" max="101" width="68.7109375" customWidth="1"/>
    <col min="102" max="102" width="84.85546875" customWidth="1"/>
    <col min="103" max="103" width="87.7109375" customWidth="1"/>
    <col min="104" max="104" width="86.28515625" customWidth="1"/>
    <col min="105" max="105" width="88.42578125" customWidth="1"/>
    <col min="106" max="106" width="87.140625" customWidth="1"/>
    <col min="107" max="107" width="86" customWidth="1"/>
    <col min="108" max="108" width="80.28515625" customWidth="1"/>
    <col min="109" max="109" width="73.42578125" customWidth="1"/>
    <col min="110" max="110" width="74.28515625" customWidth="1"/>
    <col min="111" max="111" width="69.7109375" customWidth="1"/>
    <col min="112" max="112" width="73.42578125" customWidth="1"/>
    <col min="113" max="113" width="72.42578125" customWidth="1"/>
    <col min="114" max="114" width="90" customWidth="1"/>
    <col min="115" max="115" width="73" customWidth="1"/>
    <col min="116" max="116" width="79.7109375" customWidth="1"/>
    <col min="117" max="117" width="80.42578125" customWidth="1"/>
    <col min="118" max="118" width="79.42578125" customWidth="1"/>
    <col min="119" max="119" width="82.85546875" customWidth="1"/>
    <col min="120" max="120" width="86.42578125" customWidth="1"/>
    <col min="121" max="121" width="83.85546875" customWidth="1"/>
    <col min="122" max="122" width="75.7109375" customWidth="1"/>
    <col min="123" max="123" width="75.42578125" customWidth="1"/>
    <col min="124" max="124" width="62.140625" customWidth="1"/>
    <col min="125" max="125" width="68.42578125" customWidth="1"/>
    <col min="126" max="126" width="84.42578125" customWidth="1"/>
    <col min="127" max="127" width="87.28515625" customWidth="1"/>
    <col min="128" max="128" width="86" customWidth="1"/>
    <col min="129" max="129" width="88.28515625" customWidth="1"/>
    <col min="130" max="130" width="86.85546875" customWidth="1"/>
    <col min="131" max="131" width="85.85546875" customWidth="1"/>
    <col min="132" max="132" width="80.140625" customWidth="1"/>
    <col min="133" max="133" width="73.140625" customWidth="1"/>
    <col min="134" max="134" width="74" customWidth="1"/>
    <col min="135" max="135" width="69.42578125" customWidth="1"/>
    <col min="136" max="136" width="73.140625" customWidth="1"/>
    <col min="137" max="137" width="72.42578125" customWidth="1"/>
    <col min="138" max="138" width="91" customWidth="1"/>
    <col min="139" max="139" width="72.85546875" customWidth="1"/>
    <col min="140" max="140" width="79.42578125" customWidth="1"/>
    <col min="141" max="141" width="80.28515625" customWidth="1"/>
    <col min="142" max="142" width="79.28515625" customWidth="1"/>
    <col min="143" max="143" width="82.42578125" customWidth="1"/>
    <col min="144" max="144" width="86.28515625" customWidth="1"/>
    <col min="145" max="145" width="83.42578125" customWidth="1"/>
    <col min="146" max="146" width="45.28515625" customWidth="1"/>
    <col min="147" max="147" width="45" customWidth="1"/>
    <col min="148" max="148" width="35.7109375" customWidth="1"/>
    <col min="149" max="149" width="57.85546875" customWidth="1"/>
    <col min="150" max="150" width="57.7109375" customWidth="1"/>
    <col min="151" max="151" width="65" customWidth="1"/>
    <col min="152" max="152" width="60.7109375" customWidth="1"/>
    <col min="153" max="153" width="64.85546875" customWidth="1"/>
    <col min="154" max="154" width="60.42578125" customWidth="1"/>
    <col min="155" max="155" width="52.85546875" customWidth="1"/>
    <col min="156" max="156" width="49.140625" customWidth="1"/>
    <col min="157" max="157" width="63" customWidth="1"/>
    <col min="158" max="158" width="62.85546875" customWidth="1"/>
    <col min="159" max="159" width="49.28515625" customWidth="1"/>
    <col min="160" max="160" width="55.7109375" customWidth="1"/>
    <col min="161" max="161" width="71.7109375" customWidth="1"/>
    <col min="162" max="162" width="74.42578125" customWidth="1"/>
    <col min="163" max="163" width="73.42578125" customWidth="1"/>
    <col min="164" max="164" width="75.42578125" customWidth="1"/>
    <col min="165" max="165" width="74.28515625" customWidth="1"/>
    <col min="166" max="166" width="73.140625" customWidth="1"/>
    <col min="167" max="167" width="67.42578125" customWidth="1"/>
    <col min="168" max="168" width="60.28515625" customWidth="1"/>
    <col min="169" max="169" width="61.140625" customWidth="1"/>
    <col min="170" max="170" width="56.7109375" customWidth="1"/>
    <col min="171" max="171" width="60.28515625" customWidth="1"/>
    <col min="172" max="172" width="59.42578125" customWidth="1"/>
    <col min="173" max="173" width="78.85546875" customWidth="1"/>
    <col min="174" max="174" width="60" customWidth="1"/>
    <col min="175" max="175" width="66.7109375" customWidth="1"/>
    <col min="176" max="176" width="67.7109375" customWidth="1"/>
    <col min="177" max="177" width="66.42578125" customWidth="1"/>
    <col min="178" max="178" width="69.7109375" customWidth="1"/>
    <col min="179" max="179" width="73.42578125" customWidth="1"/>
    <col min="180" max="180" width="70.7109375" customWidth="1"/>
    <col min="181" max="181" width="62.85546875" customWidth="1"/>
    <col min="182" max="182" width="62.42578125" customWidth="1"/>
    <col min="183" max="183" width="49.140625" customWidth="1"/>
    <col min="184" max="184" width="55.42578125" customWidth="1"/>
    <col min="185" max="185" width="71.42578125" customWidth="1"/>
    <col min="186" max="186" width="74.42578125" customWidth="1"/>
    <col min="187" max="187" width="73.140625" customWidth="1"/>
    <col min="188" max="188" width="75.28515625" customWidth="1"/>
    <col min="189" max="189" width="74" customWidth="1"/>
    <col min="190" max="190" width="73" customWidth="1"/>
    <col min="191" max="191" width="67.28515625" customWidth="1"/>
    <col min="192" max="192" width="60.140625" customWidth="1"/>
    <col min="193" max="193" width="61" customWidth="1"/>
    <col min="194" max="194" width="56.42578125" customWidth="1"/>
    <col min="195" max="195" width="60.140625" customWidth="1"/>
    <col min="196" max="196" width="59.28515625" customWidth="1"/>
    <col min="197" max="197" width="78.7109375" customWidth="1"/>
    <col min="198" max="198" width="59.7109375" customWidth="1"/>
    <col min="199" max="199" width="66.42578125" customWidth="1"/>
    <col min="200" max="200" width="67.42578125" customWidth="1"/>
    <col min="201" max="201" width="66.28515625" customWidth="1"/>
    <col min="202" max="202" width="69.42578125" customWidth="1"/>
    <col min="203" max="203" width="73.42578125" customWidth="1"/>
    <col min="204" max="204" width="70.42578125" customWidth="1"/>
    <col min="205" max="205" width="70.28515625" customWidth="1"/>
    <col min="206" max="206" width="70.140625" customWidth="1"/>
    <col min="207" max="207" width="79.28515625" customWidth="1"/>
    <col min="208" max="208" width="80.140625" customWidth="1"/>
    <col min="209" max="209" width="79.140625" customWidth="1"/>
    <col min="210" max="210" width="82.140625" customWidth="1"/>
    <col min="211" max="211" width="86" customWidth="1"/>
    <col min="212" max="212" width="83.42578125" customWidth="1"/>
    <col min="213" max="213" width="79.140625" customWidth="1"/>
    <col min="214" max="214" width="80" customWidth="1"/>
    <col min="215" max="215" width="78.85546875" customWidth="1"/>
    <col min="216" max="216" width="82" customWidth="1"/>
    <col min="217" max="217" width="85.85546875" customWidth="1"/>
    <col min="218" max="218" width="83.140625" customWidth="1"/>
    <col min="219" max="219" width="45.28515625" customWidth="1"/>
    <col min="220" max="220" width="45" customWidth="1"/>
    <col min="221" max="221" width="35.7109375" customWidth="1"/>
    <col min="222" max="222" width="57.85546875" customWidth="1"/>
    <col min="223" max="223" width="57.7109375" customWidth="1"/>
    <col min="224" max="224" width="65" customWidth="1"/>
    <col min="225" max="225" width="60.7109375" customWidth="1"/>
    <col min="226" max="226" width="64.85546875" customWidth="1"/>
    <col min="227" max="227" width="60.42578125" customWidth="1"/>
    <col min="228" max="228" width="52.85546875" customWidth="1"/>
    <col min="229" max="229" width="49.140625" customWidth="1"/>
    <col min="230" max="230" width="63" customWidth="1"/>
    <col min="231" max="231" width="62.85546875" customWidth="1"/>
    <col min="232" max="232" width="49.28515625" customWidth="1"/>
    <col min="233" max="233" width="55.7109375" customWidth="1"/>
    <col min="234" max="234" width="71.7109375" customWidth="1"/>
    <col min="235" max="235" width="74.42578125" customWidth="1"/>
    <col min="236" max="236" width="73.42578125" customWidth="1"/>
    <col min="237" max="237" width="75.42578125" customWidth="1"/>
    <col min="238" max="238" width="74.28515625" customWidth="1"/>
    <col min="239" max="239" width="73.140625" customWidth="1"/>
    <col min="240" max="240" width="67.42578125" customWidth="1"/>
    <col min="241" max="241" width="60.28515625" customWidth="1"/>
    <col min="242" max="242" width="61.140625" customWidth="1"/>
    <col min="243" max="243" width="56.7109375" customWidth="1"/>
    <col min="244" max="244" width="60.28515625" customWidth="1"/>
    <col min="245" max="245" width="59.42578125" customWidth="1"/>
    <col min="246" max="246" width="78.85546875" customWidth="1"/>
    <col min="247" max="247" width="60" customWidth="1"/>
    <col min="248" max="248" width="66.7109375" customWidth="1"/>
    <col min="249" max="249" width="67.7109375" customWidth="1"/>
    <col min="250" max="250" width="66.42578125" customWidth="1"/>
    <col min="251" max="251" width="69.7109375" customWidth="1"/>
    <col min="252" max="252" width="73.42578125" customWidth="1"/>
    <col min="253" max="253" width="70.7109375" customWidth="1"/>
    <col min="254" max="254" width="62.85546875" customWidth="1"/>
    <col min="255" max="255" width="62.42578125" customWidth="1"/>
    <col min="256" max="256" width="49.140625" customWidth="1"/>
    <col min="257" max="257" width="55.42578125" customWidth="1"/>
    <col min="258" max="258" width="71.42578125" customWidth="1"/>
    <col min="259" max="259" width="74.42578125" customWidth="1"/>
    <col min="260" max="260" width="73.140625" customWidth="1"/>
    <col min="261" max="261" width="75.28515625" customWidth="1"/>
    <col min="262" max="262" width="74" customWidth="1"/>
    <col min="263" max="263" width="73" customWidth="1"/>
    <col min="264" max="264" width="67.28515625" customWidth="1"/>
    <col min="265" max="265" width="60.140625" customWidth="1"/>
    <col min="266" max="266" width="61" customWidth="1"/>
    <col min="267" max="267" width="56.42578125" customWidth="1"/>
    <col min="268" max="268" width="60.140625" customWidth="1"/>
    <col min="269" max="269" width="59.28515625" customWidth="1"/>
    <col min="270" max="270" width="78.7109375" customWidth="1"/>
    <col min="271" max="271" width="59.7109375" customWidth="1"/>
    <col min="272" max="272" width="66.42578125" customWidth="1"/>
    <col min="273" max="273" width="67.42578125" customWidth="1"/>
    <col min="274" max="274" width="66.28515625" customWidth="1"/>
    <col min="275" max="275" width="69.42578125" customWidth="1"/>
    <col min="276" max="276" width="73.42578125" customWidth="1"/>
    <col min="277" max="277" width="70.42578125" customWidth="1"/>
    <col min="278" max="278" width="70.28515625" customWidth="1"/>
    <col min="279" max="279" width="70.140625" customWidth="1"/>
    <col min="280" max="280" width="79.28515625" customWidth="1"/>
    <col min="281" max="281" width="80.140625" customWidth="1"/>
    <col min="282" max="282" width="79.140625" customWidth="1"/>
    <col min="283" max="283" width="82.140625" customWidth="1"/>
    <col min="284" max="284" width="86" customWidth="1"/>
    <col min="285" max="285" width="83.42578125" customWidth="1"/>
    <col min="286" max="286" width="79.140625" customWidth="1"/>
    <col min="287" max="287" width="80" customWidth="1"/>
    <col min="288" max="288" width="78.85546875" customWidth="1"/>
    <col min="289" max="289" width="82" customWidth="1"/>
    <col min="290" max="290" width="85.85546875" customWidth="1"/>
    <col min="291" max="291" width="83.140625" customWidth="1"/>
    <col min="292" max="292" width="48.140625" customWidth="1"/>
    <col min="293" max="293" width="47.85546875" customWidth="1"/>
    <col min="294" max="294" width="38.42578125" customWidth="1"/>
    <col min="295" max="295" width="60.42578125" customWidth="1"/>
    <col min="296" max="296" width="60.28515625" customWidth="1"/>
    <col min="297" max="297" width="67.85546875" customWidth="1"/>
    <col min="298" max="298" width="63.42578125" customWidth="1"/>
    <col min="299" max="299" width="67.7109375" customWidth="1"/>
    <col min="300" max="300" width="63.42578125" customWidth="1"/>
    <col min="301" max="301" width="55.42578125" customWidth="1"/>
    <col min="302" max="302" width="52" customWidth="1"/>
    <col min="303" max="303" width="65.7109375" customWidth="1"/>
    <col min="304" max="304" width="65.42578125" customWidth="1"/>
    <col min="305" max="305" width="52.140625" customWidth="1"/>
    <col min="306" max="306" width="58.42578125" customWidth="1"/>
    <col min="307" max="307" width="74.42578125" customWidth="1"/>
    <col min="308" max="308" width="77.42578125" customWidth="1"/>
    <col min="309" max="309" width="76" customWidth="1"/>
    <col min="310" max="310" width="78.28515625" customWidth="1"/>
    <col min="311" max="311" width="76.85546875" customWidth="1"/>
    <col min="312" max="312" width="75.85546875" customWidth="1"/>
    <col min="313" max="313" width="70.140625" customWidth="1"/>
    <col min="314" max="314" width="63.140625" customWidth="1"/>
    <col min="315" max="315" width="64" customWidth="1"/>
    <col min="316" max="316" width="59.42578125" customWidth="1"/>
    <col min="317" max="317" width="63.140625" customWidth="1"/>
    <col min="318" max="318" width="62.42578125" customWidth="1"/>
    <col min="319" max="319" width="81.42578125" customWidth="1"/>
    <col min="320" max="320" width="62.85546875" customWidth="1"/>
    <col min="321" max="321" width="69.42578125" customWidth="1"/>
    <col min="322" max="322" width="70.28515625" customWidth="1"/>
    <col min="323" max="323" width="69.28515625" customWidth="1"/>
    <col min="324" max="324" width="72.42578125" customWidth="1"/>
    <col min="325" max="325" width="76.28515625" customWidth="1"/>
    <col min="326" max="326" width="73.42578125" customWidth="1"/>
    <col min="327" max="327" width="65.42578125" customWidth="1"/>
    <col min="328" max="328" width="65.28515625" customWidth="1"/>
    <col min="329" max="329" width="52" customWidth="1"/>
    <col min="330" max="330" width="58.28515625" customWidth="1"/>
    <col min="331" max="331" width="74.42578125" customWidth="1"/>
    <col min="332" max="332" width="77.140625" customWidth="1"/>
    <col min="333" max="333" width="75.85546875" customWidth="1"/>
    <col min="334" max="334" width="78.140625" customWidth="1"/>
    <col min="335" max="335" width="76.7109375" customWidth="1"/>
    <col min="336" max="336" width="75.7109375" customWidth="1"/>
    <col min="337" max="337" width="70" customWidth="1"/>
    <col min="338" max="338" width="63" customWidth="1"/>
    <col min="339" max="339" width="63.85546875" customWidth="1"/>
    <col min="340" max="340" width="59.28515625" customWidth="1"/>
    <col min="341" max="341" width="63" customWidth="1"/>
    <col min="342" max="342" width="62.140625" customWidth="1"/>
    <col min="343" max="343" width="81.42578125" customWidth="1"/>
    <col min="344" max="344" width="62.42578125" customWidth="1"/>
    <col min="345" max="345" width="69.28515625" customWidth="1"/>
    <col min="346" max="346" width="70.140625" customWidth="1"/>
    <col min="347" max="347" width="69.140625" customWidth="1"/>
    <col min="348" max="348" width="72.42578125" customWidth="1"/>
    <col min="349" max="349" width="76" customWidth="1"/>
    <col min="350" max="350" width="73.42578125" customWidth="1"/>
    <col min="351" max="351" width="73.140625" customWidth="1"/>
    <col min="352" max="352" width="73" customWidth="1"/>
    <col min="353" max="353" width="82" customWidth="1"/>
    <col min="354" max="354" width="83" customWidth="1"/>
    <col min="355" max="355" width="81.7109375" customWidth="1"/>
    <col min="356" max="356" width="85" customWidth="1"/>
    <col min="357" max="357" width="88.85546875" customWidth="1"/>
    <col min="358" max="358" width="86" customWidth="1"/>
    <col min="359" max="359" width="81.7109375" customWidth="1"/>
    <col min="360" max="360" width="82.85546875" customWidth="1"/>
    <col min="361" max="361" width="81.42578125" customWidth="1"/>
    <col min="362" max="362" width="84.85546875" customWidth="1"/>
    <col min="363" max="363" width="88.7109375" customWidth="1"/>
    <col min="364" max="364" width="85.85546875" customWidth="1"/>
    <col min="365" max="365" width="45.7109375" customWidth="1"/>
    <col min="366" max="366" width="45.42578125" customWidth="1"/>
    <col min="367" max="367" width="36" customWidth="1"/>
    <col min="368" max="368" width="58.28515625" customWidth="1"/>
    <col min="369" max="369" width="58.140625" customWidth="1"/>
    <col min="370" max="370" width="65.42578125" customWidth="1"/>
    <col min="371" max="371" width="61.140625" customWidth="1"/>
    <col min="372" max="372" width="65.28515625" customWidth="1"/>
    <col min="373" max="373" width="61" customWidth="1"/>
    <col min="374" max="374" width="53.140625" customWidth="1"/>
    <col min="375" max="375" width="49.42578125" customWidth="1"/>
    <col min="376" max="376" width="63.42578125" customWidth="1"/>
    <col min="377" max="377" width="63.140625" customWidth="1"/>
    <col min="378" max="378" width="49.7109375" customWidth="1"/>
    <col min="379" max="379" width="56" customWidth="1"/>
    <col min="380" max="380" width="72.42578125" customWidth="1"/>
    <col min="381" max="381" width="75" customWidth="1"/>
    <col min="382" max="382" width="73.85546875" customWidth="1"/>
    <col min="383" max="383" width="75.85546875" customWidth="1"/>
    <col min="384" max="384" width="74.42578125" customWidth="1"/>
    <col min="385" max="385" width="73.42578125" customWidth="1"/>
    <col min="386" max="386" width="67.85546875" customWidth="1"/>
    <col min="387" max="387" width="60.7109375" customWidth="1"/>
    <col min="388" max="388" width="61.42578125" customWidth="1"/>
    <col min="389" max="389" width="57.28515625" customWidth="1"/>
    <col min="390" max="390" width="60.7109375" customWidth="1"/>
    <col min="391" max="391" width="60" customWidth="1"/>
    <col min="392" max="392" width="79.28515625" customWidth="1"/>
    <col min="393" max="393" width="60.28515625" customWidth="1"/>
    <col min="394" max="394" width="67.28515625" customWidth="1"/>
    <col min="395" max="395" width="68.140625" customWidth="1"/>
    <col min="396" max="396" width="66.85546875" customWidth="1"/>
    <col min="397" max="397" width="70.140625" customWidth="1"/>
    <col min="398" max="398" width="74" customWidth="1"/>
    <col min="399" max="399" width="71.140625" customWidth="1"/>
    <col min="400" max="400" width="63.140625" customWidth="1"/>
    <col min="401" max="401" width="63" customWidth="1"/>
    <col min="402" max="402" width="49.42578125" customWidth="1"/>
    <col min="403" max="403" width="55.85546875" customWidth="1"/>
    <col min="404" max="404" width="72" customWidth="1"/>
    <col min="405" max="405" width="74.85546875" customWidth="1"/>
    <col min="406" max="406" width="73.42578125" customWidth="1"/>
    <col min="407" max="407" width="75.7109375" customWidth="1"/>
    <col min="408" max="408" width="74.42578125" customWidth="1"/>
    <col min="409" max="409" width="73.42578125" customWidth="1"/>
    <col min="410" max="410" width="67.7109375" customWidth="1"/>
    <col min="411" max="411" width="60.42578125" customWidth="1"/>
    <col min="412" max="412" width="61.42578125" customWidth="1"/>
    <col min="413" max="413" width="57.140625" customWidth="1"/>
    <col min="414" max="414" width="60.42578125" customWidth="1"/>
    <col min="415" max="415" width="59.7109375" customWidth="1"/>
    <col min="416" max="416" width="79.140625" customWidth="1"/>
    <col min="417" max="417" width="60.140625" customWidth="1"/>
    <col min="418" max="418" width="66.85546875" customWidth="1"/>
    <col min="419" max="419" width="67.85546875" customWidth="1"/>
    <col min="420" max="420" width="66.7109375" customWidth="1"/>
    <col min="421" max="421" width="70" customWidth="1"/>
    <col min="422" max="422" width="73.85546875" customWidth="1"/>
    <col min="423" max="423" width="71" customWidth="1"/>
    <col min="424" max="424" width="70.7109375" customWidth="1"/>
    <col min="425" max="425" width="70.42578125" customWidth="1"/>
    <col min="426" max="426" width="79.7109375" customWidth="1"/>
    <col min="427" max="427" width="80.42578125" customWidth="1"/>
    <col min="428" max="428" width="79.42578125" customWidth="1"/>
    <col min="429" max="429" width="82.85546875" customWidth="1"/>
    <col min="430" max="430" width="86.42578125" customWidth="1"/>
    <col min="431" max="431" width="83.85546875" customWidth="1"/>
    <col min="432" max="432" width="79.42578125" customWidth="1"/>
    <col min="433" max="433" width="80.28515625" customWidth="1"/>
    <col min="434" max="434" width="79.28515625" customWidth="1"/>
    <col min="435" max="435" width="82.42578125" customWidth="1"/>
    <col min="436" max="436" width="86.28515625" customWidth="1"/>
    <col min="437" max="437" width="83.42578125" customWidth="1"/>
    <col min="438" max="438" width="48.42578125" customWidth="1"/>
    <col min="439" max="439" width="48.28515625" customWidth="1"/>
    <col min="440" max="440" width="38.85546875" customWidth="1"/>
    <col min="441" max="441" width="61" customWidth="1"/>
    <col min="442" max="442" width="60.7109375" customWidth="1"/>
    <col min="443" max="443" width="68.28515625" customWidth="1"/>
    <col min="444" max="444" width="64" customWidth="1"/>
    <col min="445" max="445" width="68.140625" customWidth="1"/>
    <col min="446" max="446" width="63.85546875" customWidth="1"/>
    <col min="447" max="447" width="55.85546875" customWidth="1"/>
    <col min="448" max="448" width="52.42578125" customWidth="1"/>
    <col min="449" max="449" width="66" customWidth="1"/>
    <col min="450" max="450" width="65.85546875" customWidth="1"/>
    <col min="451" max="451" width="52.42578125" customWidth="1"/>
    <col min="452" max="452" width="58.85546875" customWidth="1"/>
    <col min="453" max="453" width="75" customWidth="1"/>
    <col min="454" max="454" width="77.85546875" customWidth="1"/>
    <col min="455" max="455" width="76.42578125" customWidth="1"/>
    <col min="456" max="456" width="78.7109375" customWidth="1"/>
    <col min="457" max="457" width="77.42578125" customWidth="1"/>
    <col min="458" max="458" width="76.28515625" customWidth="1"/>
    <col min="459" max="459" width="70.42578125" customWidth="1"/>
    <col min="460" max="460" width="63.42578125" customWidth="1"/>
    <col min="461" max="461" width="64.42578125" customWidth="1"/>
    <col min="462" max="462" width="60" customWidth="1"/>
    <col min="463" max="463" width="63.42578125" customWidth="1"/>
    <col min="464" max="464" width="62.85546875" customWidth="1"/>
    <col min="465" max="465" width="82" customWidth="1"/>
    <col min="466" max="466" width="63.140625" customWidth="1"/>
    <col min="467" max="467" width="70" customWidth="1"/>
    <col min="468" max="468" width="70.7109375" customWidth="1"/>
    <col min="469" max="469" width="69.7109375" customWidth="1"/>
    <col min="470" max="470" width="73" customWidth="1"/>
    <col min="471" max="471" width="76.7109375" customWidth="1"/>
    <col min="472" max="472" width="74" customWidth="1"/>
    <col min="473" max="473" width="65.85546875" customWidth="1"/>
    <col min="474" max="474" width="65.7109375" customWidth="1"/>
    <col min="475" max="475" width="52.42578125" customWidth="1"/>
    <col min="476" max="476" width="58.7109375" customWidth="1"/>
    <col min="477" max="477" width="74.85546875" customWidth="1"/>
    <col min="478" max="478" width="77.7109375" customWidth="1"/>
    <col min="479" max="479" width="76.28515625" customWidth="1"/>
    <col min="480" max="480" width="78.42578125" customWidth="1"/>
    <col min="481" max="481" width="77.140625" customWidth="1"/>
    <col min="482" max="482" width="76" customWidth="1"/>
    <col min="483" max="483" width="70.28515625" customWidth="1"/>
    <col min="484" max="484" width="63.42578125" customWidth="1"/>
    <col min="485" max="485" width="64.28515625" customWidth="1"/>
    <col min="486" max="486" width="59.7109375" customWidth="1"/>
    <col min="487" max="487" width="63.42578125" customWidth="1"/>
    <col min="488" max="488" width="62.42578125" customWidth="1"/>
    <col min="489" max="489" width="81.7109375" customWidth="1"/>
    <col min="490" max="490" width="63" customWidth="1"/>
    <col min="491" max="491" width="69.7109375" customWidth="1"/>
    <col min="492" max="492" width="70.42578125" customWidth="1"/>
    <col min="493" max="493" width="69.42578125" customWidth="1"/>
    <col min="494" max="494" width="72.85546875" customWidth="1"/>
    <col min="495" max="495" width="76.42578125" customWidth="1"/>
    <col min="496" max="496" width="73.85546875" customWidth="1"/>
    <col min="497" max="498" width="73.42578125" customWidth="1"/>
    <col min="499" max="499" width="82.42578125" customWidth="1"/>
    <col min="500" max="500" width="83.42578125" customWidth="1"/>
    <col min="501" max="501" width="82.140625" customWidth="1"/>
    <col min="502" max="502" width="85.42578125" customWidth="1"/>
    <col min="503" max="503" width="89.28515625" customWidth="1"/>
    <col min="504" max="504" width="86.42578125" customWidth="1"/>
    <col min="505" max="505" width="82.140625" customWidth="1"/>
    <col min="506" max="506" width="83.140625" customWidth="1"/>
    <col min="507" max="507" width="82" customWidth="1"/>
    <col min="508" max="508" width="85.28515625" customWidth="1"/>
    <col min="509" max="509" width="89.140625" customWidth="1"/>
    <col min="510" max="510" width="86.28515625" customWidth="1"/>
    <col min="511" max="511" width="44" customWidth="1"/>
    <col min="512" max="512" width="43.85546875" customWidth="1"/>
    <col min="513" max="513" width="34.42578125" customWidth="1"/>
    <col min="514" max="514" width="56.42578125" customWidth="1"/>
    <col min="515" max="515" width="56.28515625" customWidth="1"/>
    <col min="516" max="516" width="63.85546875" customWidth="1"/>
    <col min="517" max="517" width="59.42578125" customWidth="1"/>
    <col min="518" max="518" width="63.42578125" customWidth="1"/>
    <col min="519" max="519" width="59.28515625" customWidth="1"/>
    <col min="520" max="520" width="51.42578125" customWidth="1"/>
    <col min="521" max="521" width="47.85546875" customWidth="1"/>
    <col min="522" max="523" width="61.42578125" customWidth="1"/>
    <col min="524" max="524" width="48.140625" customWidth="1"/>
    <col min="525" max="525" width="54.42578125" customWidth="1"/>
    <col min="526" max="526" width="70.42578125" customWidth="1"/>
    <col min="527" max="527" width="73.42578125" customWidth="1"/>
    <col min="528" max="528" width="72" customWidth="1"/>
    <col min="529" max="529" width="74.28515625" customWidth="1"/>
    <col min="530" max="530" width="73" customWidth="1"/>
    <col min="531" max="531" width="71.7109375" customWidth="1"/>
    <col min="532" max="532" width="66" customWidth="1"/>
    <col min="533" max="533" width="59.140625" customWidth="1"/>
    <col min="534" max="534" width="60" customWidth="1"/>
    <col min="535" max="535" width="55.42578125" customWidth="1"/>
    <col min="536" max="536" width="59.140625" customWidth="1"/>
    <col min="537" max="537" width="58.28515625" customWidth="1"/>
    <col min="538" max="538" width="77.7109375" customWidth="1"/>
    <col min="539" max="539" width="58.7109375" customWidth="1"/>
    <col min="540" max="540" width="65.42578125" customWidth="1"/>
    <col min="541" max="541" width="66.28515625" customWidth="1"/>
    <col min="542" max="542" width="65.28515625" customWidth="1"/>
    <col min="543" max="543" width="68.42578125" customWidth="1"/>
    <col min="544" max="544" width="72.42578125" customWidth="1"/>
    <col min="545" max="545" width="69.42578125" customWidth="1"/>
    <col min="546" max="546" width="61.42578125" customWidth="1"/>
    <col min="547" max="547" width="61.140625" customWidth="1"/>
    <col min="548" max="548" width="47.85546875" customWidth="1"/>
    <col min="549" max="549" width="54.28515625" customWidth="1"/>
    <col min="550" max="550" width="70.28515625" customWidth="1"/>
    <col min="551" max="551" width="73.140625" customWidth="1"/>
    <col min="552" max="552" width="71.7109375" customWidth="1"/>
    <col min="553" max="553" width="74" customWidth="1"/>
    <col min="554" max="554" width="72.85546875" customWidth="1"/>
    <col min="555" max="555" width="71.42578125" customWidth="1"/>
    <col min="556" max="556" width="65.85546875" customWidth="1"/>
    <col min="557" max="557" width="58.85546875" customWidth="1"/>
    <col min="558" max="558" width="59.7109375" customWidth="1"/>
    <col min="559" max="559" width="55.28515625" customWidth="1"/>
    <col min="560" max="560" width="58.85546875" customWidth="1"/>
    <col min="561" max="561" width="58.140625" customWidth="1"/>
    <col min="562" max="562" width="77.42578125" customWidth="1"/>
    <col min="563" max="563" width="58.42578125" customWidth="1"/>
    <col min="564" max="564" width="65.28515625" customWidth="1"/>
    <col min="565" max="565" width="66" customWidth="1"/>
    <col min="566" max="566" width="65" customWidth="1"/>
    <col min="567" max="567" width="68.28515625" customWidth="1"/>
    <col min="568" max="568" width="72" customWidth="1"/>
    <col min="569" max="569" width="69.28515625" customWidth="1"/>
    <col min="570" max="570" width="69.140625" customWidth="1"/>
    <col min="571" max="571" width="68.85546875" customWidth="1"/>
    <col min="572" max="572" width="78.140625" customWidth="1"/>
    <col min="573" max="573" width="78.85546875" customWidth="1"/>
    <col min="574" max="574" width="77.85546875" customWidth="1"/>
    <col min="575" max="575" width="81" customWidth="1"/>
    <col min="576" max="576" width="84.85546875" customWidth="1"/>
    <col min="577" max="577" width="82" customWidth="1"/>
    <col min="578" max="578" width="77.85546875" customWidth="1"/>
    <col min="579" max="579" width="78.7109375" customWidth="1"/>
    <col min="580" max="580" width="77.7109375" customWidth="1"/>
    <col min="581" max="581" width="80.7109375" customWidth="1"/>
    <col min="582" max="582" width="84.42578125" customWidth="1"/>
    <col min="583" max="583" width="81.7109375" customWidth="1"/>
    <col min="584" max="584" width="44" customWidth="1"/>
    <col min="585" max="585" width="43.85546875" customWidth="1"/>
    <col min="586" max="586" width="34.42578125" customWidth="1"/>
    <col min="587" max="587" width="56.42578125" customWidth="1"/>
    <col min="588" max="588" width="56.28515625" customWidth="1"/>
    <col min="589" max="589" width="63.85546875" customWidth="1"/>
    <col min="590" max="590" width="59.42578125" customWidth="1"/>
    <col min="591" max="591" width="63.42578125" customWidth="1"/>
    <col min="592" max="592" width="59.28515625" customWidth="1"/>
    <col min="593" max="593" width="51.42578125" customWidth="1"/>
    <col min="594" max="594" width="47.85546875" customWidth="1"/>
    <col min="595" max="596" width="61.42578125" customWidth="1"/>
    <col min="597" max="597" width="48.140625" customWidth="1"/>
    <col min="598" max="598" width="54.42578125" customWidth="1"/>
    <col min="599" max="599" width="70.42578125" customWidth="1"/>
    <col min="600" max="600" width="73.42578125" customWidth="1"/>
    <col min="601" max="601" width="72" customWidth="1"/>
    <col min="602" max="602" width="74.28515625" customWidth="1"/>
    <col min="603" max="603" width="73" customWidth="1"/>
    <col min="604" max="604" width="71.7109375" customWidth="1"/>
    <col min="605" max="605" width="66" customWidth="1"/>
    <col min="606" max="606" width="59.140625" customWidth="1"/>
    <col min="607" max="607" width="60" customWidth="1"/>
    <col min="608" max="608" width="55.42578125" customWidth="1"/>
    <col min="609" max="609" width="59.140625" customWidth="1"/>
    <col min="610" max="610" width="58.28515625" customWidth="1"/>
    <col min="611" max="611" width="77.7109375" customWidth="1"/>
    <col min="612" max="612" width="58.7109375" customWidth="1"/>
    <col min="613" max="613" width="65.42578125" customWidth="1"/>
    <col min="614" max="614" width="66.28515625" customWidth="1"/>
    <col min="615" max="615" width="65.28515625" customWidth="1"/>
    <col min="616" max="616" width="68.42578125" customWidth="1"/>
    <col min="617" max="617" width="72.42578125" customWidth="1"/>
    <col min="618" max="618" width="69.42578125" customWidth="1"/>
    <col min="619" max="619" width="61.42578125" customWidth="1"/>
    <col min="620" max="620" width="61.140625" customWidth="1"/>
    <col min="621" max="621" width="47.85546875" customWidth="1"/>
    <col min="622" max="622" width="54.28515625" customWidth="1"/>
    <col min="623" max="623" width="70.28515625" customWidth="1"/>
    <col min="624" max="624" width="73.140625" customWidth="1"/>
    <col min="625" max="625" width="71.7109375" customWidth="1"/>
    <col min="626" max="626" width="74" customWidth="1"/>
    <col min="627" max="627" width="72.85546875" customWidth="1"/>
    <col min="628" max="628" width="71.42578125" customWidth="1"/>
    <col min="629" max="629" width="65.85546875" customWidth="1"/>
    <col min="630" max="630" width="58.85546875" customWidth="1"/>
    <col min="631" max="631" width="59.7109375" customWidth="1"/>
    <col min="632" max="632" width="55.28515625" customWidth="1"/>
    <col min="633" max="633" width="58.85546875" customWidth="1"/>
    <col min="634" max="634" width="58.140625" customWidth="1"/>
    <col min="635" max="635" width="77.42578125" customWidth="1"/>
    <col min="636" max="636" width="58.42578125" customWidth="1"/>
    <col min="637" max="637" width="65.28515625" customWidth="1"/>
    <col min="638" max="638" width="66" customWidth="1"/>
    <col min="639" max="639" width="65" customWidth="1"/>
    <col min="640" max="640" width="68.28515625" customWidth="1"/>
    <col min="641" max="641" width="72" customWidth="1"/>
    <col min="642" max="642" width="69.28515625" customWidth="1"/>
    <col min="643" max="643" width="69.140625" customWidth="1"/>
    <col min="644" max="644" width="68.85546875" customWidth="1"/>
    <col min="645" max="645" width="78.140625" customWidth="1"/>
    <col min="646" max="646" width="78.85546875" customWidth="1"/>
    <col min="647" max="647" width="77.85546875" customWidth="1"/>
    <col min="648" max="648" width="81" customWidth="1"/>
    <col min="649" max="649" width="84.85546875" customWidth="1"/>
    <col min="650" max="650" width="82" customWidth="1"/>
    <col min="651" max="651" width="77.85546875" customWidth="1"/>
    <col min="652" max="652" width="78.7109375" customWidth="1"/>
    <col min="653" max="653" width="77.7109375" customWidth="1"/>
    <col min="654" max="654" width="80.7109375" customWidth="1"/>
    <col min="655" max="655" width="84.42578125" customWidth="1"/>
    <col min="656" max="656" width="81.7109375" customWidth="1"/>
    <col min="657" max="657" width="40.140625" customWidth="1"/>
    <col min="658" max="658" width="43" customWidth="1"/>
    <col min="659" max="659" width="40.140625" customWidth="1"/>
    <col min="660" max="661" width="43" customWidth="1"/>
    <col min="662" max="662" width="45.7109375" customWidth="1"/>
    <col min="663" max="663" width="40.42578125" customWidth="1"/>
    <col min="664" max="665" width="43.42578125" customWidth="1"/>
    <col min="666" max="666" width="46" customWidth="1"/>
    <col min="667" max="667" width="38.85546875" customWidth="1"/>
    <col min="668" max="668" width="41.7109375" customWidth="1"/>
    <col min="669" max="669" width="38.85546875" customWidth="1"/>
    <col min="670" max="670" width="41.7109375" customWidth="1"/>
    <col min="671" max="671" width="43.42578125" customWidth="1"/>
    <col min="672" max="672" width="45" customWidth="1"/>
    <col min="673" max="673" width="44.85546875" customWidth="1"/>
    <col min="674" max="674" width="43.42578125" customWidth="1"/>
    <col min="675" max="675" width="45" customWidth="1"/>
    <col min="676" max="676" width="44.85546875" customWidth="1"/>
    <col min="677" max="677" width="46.28515625" customWidth="1"/>
    <col min="678" max="678" width="47.85546875" customWidth="1"/>
    <col min="679" max="679" width="47.7109375" customWidth="1"/>
    <col min="680" max="680" width="44" customWidth="1"/>
    <col min="681" max="681" width="45.42578125" customWidth="1"/>
    <col min="682" max="682" width="45.28515625" customWidth="1"/>
    <col min="683" max="683" width="46.85546875" customWidth="1"/>
    <col min="684" max="684" width="48.28515625" customWidth="1"/>
    <col min="685" max="685" width="48.140625" customWidth="1"/>
    <col min="686" max="686" width="42.42578125" customWidth="1"/>
    <col min="687" max="687" width="43.85546875" customWidth="1"/>
    <col min="688" max="688" width="43.42578125" customWidth="1"/>
    <col min="689" max="689" width="42.42578125" customWidth="1"/>
    <col min="690" max="690" width="43.85546875" customWidth="1"/>
    <col min="691" max="691" width="43.42578125" customWidth="1"/>
  </cols>
  <sheetData>
    <row r="1" spans="1:1354" x14ac:dyDescent="0.25">
      <c r="A1" t="s">
        <v>59</v>
      </c>
      <c r="B1" t="s">
        <v>60</v>
      </c>
      <c r="C1" t="s">
        <v>61</v>
      </c>
      <c r="D1" t="s">
        <v>62</v>
      </c>
      <c r="E1" t="s">
        <v>63</v>
      </c>
      <c r="F1" t="s">
        <v>64</v>
      </c>
      <c r="G1" t="s">
        <v>65</v>
      </c>
      <c r="H1" t="s">
        <v>66</v>
      </c>
      <c r="I1" t="s">
        <v>67</v>
      </c>
      <c r="J1" t="s">
        <v>68</v>
      </c>
      <c r="K1" t="s">
        <v>69</v>
      </c>
      <c r="L1" t="s">
        <v>70</v>
      </c>
      <c r="M1" t="s">
        <v>71</v>
      </c>
      <c r="N1" t="s">
        <v>72</v>
      </c>
      <c r="O1" t="s">
        <v>73</v>
      </c>
      <c r="P1" t="s">
        <v>74</v>
      </c>
      <c r="Q1" t="s">
        <v>75</v>
      </c>
      <c r="R1" t="s">
        <v>76</v>
      </c>
      <c r="S1" t="s">
        <v>77</v>
      </c>
      <c r="T1" t="s">
        <v>78</v>
      </c>
      <c r="U1" t="s">
        <v>79</v>
      </c>
      <c r="V1" t="s">
        <v>80</v>
      </c>
      <c r="W1" t="s">
        <v>81</v>
      </c>
      <c r="X1" t="s">
        <v>82</v>
      </c>
      <c r="Y1" t="s">
        <v>83</v>
      </c>
      <c r="Z1" t="s">
        <v>84</v>
      </c>
      <c r="AA1" t="s">
        <v>85</v>
      </c>
      <c r="AB1" t="s">
        <v>105</v>
      </c>
      <c r="AC1" t="s">
        <v>106</v>
      </c>
      <c r="AD1" t="s">
        <v>107</v>
      </c>
      <c r="AE1" t="s">
        <v>108</v>
      </c>
      <c r="AF1" t="s">
        <v>109</v>
      </c>
      <c r="AG1" t="s">
        <v>110</v>
      </c>
      <c r="AH1" t="s">
        <v>111</v>
      </c>
      <c r="AI1" t="s">
        <v>112</v>
      </c>
      <c r="AJ1" t="s">
        <v>113</v>
      </c>
      <c r="AK1" t="s">
        <v>114</v>
      </c>
      <c r="AL1" t="s">
        <v>115</v>
      </c>
      <c r="AM1" t="s">
        <v>116</v>
      </c>
      <c r="AN1" t="s">
        <v>117</v>
      </c>
      <c r="AO1" t="s">
        <v>118</v>
      </c>
      <c r="AP1" t="s">
        <v>119</v>
      </c>
      <c r="AQ1" t="s">
        <v>120</v>
      </c>
      <c r="AR1" t="s">
        <v>121</v>
      </c>
      <c r="AS1" t="s">
        <v>122</v>
      </c>
      <c r="AT1" t="s">
        <v>123</v>
      </c>
      <c r="AU1" t="s">
        <v>124</v>
      </c>
      <c r="AV1" t="s">
        <v>125</v>
      </c>
      <c r="AW1" t="s">
        <v>126</v>
      </c>
      <c r="AX1" t="s">
        <v>127</v>
      </c>
      <c r="AY1" t="s">
        <v>128</v>
      </c>
      <c r="AZ1" t="s">
        <v>129</v>
      </c>
      <c r="BA1" t="s">
        <v>130</v>
      </c>
      <c r="BB1" t="s">
        <v>131</v>
      </c>
      <c r="BC1" t="s">
        <v>132</v>
      </c>
      <c r="BD1" t="s">
        <v>133</v>
      </c>
      <c r="BE1" t="s">
        <v>134</v>
      </c>
      <c r="BF1" t="s">
        <v>135</v>
      </c>
      <c r="BG1" t="s">
        <v>136</v>
      </c>
      <c r="BH1" t="s">
        <v>137</v>
      </c>
      <c r="BI1" t="s">
        <v>138</v>
      </c>
      <c r="BJ1" t="s">
        <v>139</v>
      </c>
      <c r="BK1" t="s">
        <v>140</v>
      </c>
      <c r="BL1" t="s">
        <v>141</v>
      </c>
      <c r="BM1" t="s">
        <v>142</v>
      </c>
      <c r="BN1" t="s">
        <v>143</v>
      </c>
      <c r="BO1" t="s">
        <v>144</v>
      </c>
      <c r="BP1" t="s">
        <v>145</v>
      </c>
      <c r="BQ1" t="s">
        <v>146</v>
      </c>
      <c r="BR1" t="s">
        <v>147</v>
      </c>
      <c r="BS1" t="s">
        <v>148</v>
      </c>
      <c r="BT1" t="s">
        <v>149</v>
      </c>
      <c r="BU1" t="s">
        <v>150</v>
      </c>
      <c r="BV1" t="s">
        <v>151</v>
      </c>
      <c r="BW1" t="s">
        <v>152</v>
      </c>
      <c r="BX1" t="s">
        <v>153</v>
      </c>
      <c r="BY1" t="s">
        <v>154</v>
      </c>
      <c r="BZ1" t="s">
        <v>155</v>
      </c>
      <c r="CA1" t="s">
        <v>156</v>
      </c>
      <c r="CB1" t="s">
        <v>157</v>
      </c>
      <c r="CC1" t="s">
        <v>158</v>
      </c>
      <c r="CD1" t="s">
        <v>159</v>
      </c>
      <c r="CE1" t="s">
        <v>160</v>
      </c>
      <c r="CF1" t="s">
        <v>161</v>
      </c>
      <c r="CG1" t="s">
        <v>162</v>
      </c>
      <c r="CH1" t="s">
        <v>163</v>
      </c>
      <c r="CI1" t="s">
        <v>164</v>
      </c>
      <c r="CJ1" t="s">
        <v>165</v>
      </c>
      <c r="CK1" t="s">
        <v>166</v>
      </c>
      <c r="CL1" t="s">
        <v>167</v>
      </c>
      <c r="CM1" t="s">
        <v>168</v>
      </c>
      <c r="CN1" t="s">
        <v>169</v>
      </c>
      <c r="CO1" t="s">
        <v>170</v>
      </c>
      <c r="CP1" t="s">
        <v>171</v>
      </c>
      <c r="CQ1" t="s">
        <v>172</v>
      </c>
      <c r="CR1" t="s">
        <v>173</v>
      </c>
      <c r="CS1" t="s">
        <v>174</v>
      </c>
      <c r="CT1" t="s">
        <v>175</v>
      </c>
      <c r="CU1" t="s">
        <v>176</v>
      </c>
      <c r="CV1" t="s">
        <v>177</v>
      </c>
      <c r="CW1" t="s">
        <v>178</v>
      </c>
      <c r="CX1" t="s">
        <v>179</v>
      </c>
      <c r="CY1" t="s">
        <v>180</v>
      </c>
      <c r="CZ1" t="s">
        <v>181</v>
      </c>
      <c r="DA1" t="s">
        <v>182</v>
      </c>
      <c r="DB1" t="s">
        <v>183</v>
      </c>
      <c r="DC1" t="s">
        <v>184</v>
      </c>
      <c r="DD1" t="s">
        <v>185</v>
      </c>
      <c r="DE1" t="s">
        <v>186</v>
      </c>
      <c r="DF1" t="s">
        <v>187</v>
      </c>
      <c r="DG1" t="s">
        <v>188</v>
      </c>
      <c r="DH1" t="s">
        <v>189</v>
      </c>
      <c r="DI1" t="s">
        <v>190</v>
      </c>
      <c r="DJ1" t="s">
        <v>191</v>
      </c>
      <c r="DK1" t="s">
        <v>192</v>
      </c>
      <c r="DL1" t="s">
        <v>193</v>
      </c>
      <c r="DM1" t="s">
        <v>194</v>
      </c>
      <c r="DN1" t="s">
        <v>195</v>
      </c>
      <c r="DO1" t="s">
        <v>196</v>
      </c>
      <c r="DP1" t="s">
        <v>197</v>
      </c>
      <c r="DQ1" t="s">
        <v>198</v>
      </c>
      <c r="DR1" t="s">
        <v>199</v>
      </c>
      <c r="DS1" t="s">
        <v>200</v>
      </c>
      <c r="DT1" t="s">
        <v>201</v>
      </c>
      <c r="DU1" t="s">
        <v>202</v>
      </c>
      <c r="DV1" t="s">
        <v>203</v>
      </c>
      <c r="DW1" t="s">
        <v>204</v>
      </c>
      <c r="DX1" t="s">
        <v>205</v>
      </c>
      <c r="DY1" t="s">
        <v>206</v>
      </c>
      <c r="DZ1" t="s">
        <v>207</v>
      </c>
      <c r="EA1" t="s">
        <v>208</v>
      </c>
      <c r="EB1" t="s">
        <v>209</v>
      </c>
      <c r="EC1" t="s">
        <v>210</v>
      </c>
      <c r="ED1" t="s">
        <v>211</v>
      </c>
      <c r="EE1" t="s">
        <v>212</v>
      </c>
      <c r="EF1" t="s">
        <v>213</v>
      </c>
      <c r="EG1" t="s">
        <v>214</v>
      </c>
      <c r="EH1" t="s">
        <v>215</v>
      </c>
      <c r="EI1" t="s">
        <v>216</v>
      </c>
      <c r="EJ1" t="s">
        <v>217</v>
      </c>
      <c r="EK1" t="s">
        <v>218</v>
      </c>
      <c r="EL1" t="s">
        <v>219</v>
      </c>
      <c r="EM1" t="s">
        <v>220</v>
      </c>
      <c r="EN1" t="s">
        <v>221</v>
      </c>
      <c r="EO1" t="s">
        <v>222</v>
      </c>
      <c r="EP1" t="s">
        <v>223</v>
      </c>
      <c r="EQ1" t="s">
        <v>224</v>
      </c>
      <c r="ER1" t="s">
        <v>225</v>
      </c>
      <c r="ES1" t="s">
        <v>226</v>
      </c>
      <c r="ET1" t="s">
        <v>227</v>
      </c>
      <c r="EU1" t="s">
        <v>228</v>
      </c>
      <c r="EV1" t="s">
        <v>229</v>
      </c>
      <c r="EW1" t="s">
        <v>230</v>
      </c>
      <c r="EX1" t="s">
        <v>231</v>
      </c>
      <c r="EY1" t="s">
        <v>232</v>
      </c>
      <c r="EZ1" t="s">
        <v>233</v>
      </c>
      <c r="FA1" t="s">
        <v>234</v>
      </c>
      <c r="FB1" t="s">
        <v>235</v>
      </c>
      <c r="FC1" t="s">
        <v>236</v>
      </c>
      <c r="FD1" t="s">
        <v>237</v>
      </c>
      <c r="FE1" t="s">
        <v>238</v>
      </c>
      <c r="FF1" t="s">
        <v>239</v>
      </c>
      <c r="FG1" t="s">
        <v>240</v>
      </c>
      <c r="FH1" t="s">
        <v>241</v>
      </c>
      <c r="FI1" t="s">
        <v>242</v>
      </c>
      <c r="FJ1" t="s">
        <v>243</v>
      </c>
      <c r="FK1" t="s">
        <v>244</v>
      </c>
      <c r="FL1" t="s">
        <v>245</v>
      </c>
      <c r="FM1" t="s">
        <v>246</v>
      </c>
      <c r="FN1" t="s">
        <v>247</v>
      </c>
      <c r="FO1" t="s">
        <v>248</v>
      </c>
      <c r="FP1" t="s">
        <v>249</v>
      </c>
      <c r="FQ1" t="s">
        <v>250</v>
      </c>
      <c r="FR1" t="s">
        <v>251</v>
      </c>
      <c r="FS1" t="s">
        <v>252</v>
      </c>
      <c r="FT1" t="s">
        <v>253</v>
      </c>
      <c r="FU1" t="s">
        <v>254</v>
      </c>
      <c r="FV1" t="s">
        <v>255</v>
      </c>
      <c r="FW1" t="s">
        <v>256</v>
      </c>
      <c r="FX1" t="s">
        <v>257</v>
      </c>
      <c r="FY1" t="s">
        <v>258</v>
      </c>
      <c r="FZ1" t="s">
        <v>259</v>
      </c>
      <c r="GA1" t="s">
        <v>260</v>
      </c>
      <c r="GB1" t="s">
        <v>261</v>
      </c>
      <c r="GC1" t="s">
        <v>262</v>
      </c>
      <c r="GD1" t="s">
        <v>263</v>
      </c>
      <c r="GE1" t="s">
        <v>264</v>
      </c>
      <c r="GF1" t="s">
        <v>265</v>
      </c>
      <c r="GG1" t="s">
        <v>266</v>
      </c>
      <c r="GH1" t="s">
        <v>267</v>
      </c>
      <c r="GI1" t="s">
        <v>268</v>
      </c>
      <c r="GJ1" t="s">
        <v>269</v>
      </c>
      <c r="GK1" t="s">
        <v>270</v>
      </c>
      <c r="GL1" t="s">
        <v>271</v>
      </c>
      <c r="GM1" t="s">
        <v>272</v>
      </c>
      <c r="GN1" t="s">
        <v>273</v>
      </c>
      <c r="GO1" t="s">
        <v>274</v>
      </c>
      <c r="GP1" t="s">
        <v>275</v>
      </c>
      <c r="GQ1" t="s">
        <v>276</v>
      </c>
      <c r="GR1" t="s">
        <v>277</v>
      </c>
      <c r="GS1" t="s">
        <v>278</v>
      </c>
      <c r="GT1" t="s">
        <v>279</v>
      </c>
      <c r="GU1" t="s">
        <v>280</v>
      </c>
      <c r="GV1" t="s">
        <v>281</v>
      </c>
      <c r="GW1" t="s">
        <v>282</v>
      </c>
      <c r="GX1" t="s">
        <v>283</v>
      </c>
      <c r="GY1" t="s">
        <v>284</v>
      </c>
      <c r="GZ1" t="s">
        <v>285</v>
      </c>
      <c r="HA1" t="s">
        <v>286</v>
      </c>
      <c r="HB1" t="s">
        <v>287</v>
      </c>
      <c r="HC1" t="s">
        <v>288</v>
      </c>
      <c r="HD1" t="s">
        <v>289</v>
      </c>
      <c r="HE1" t="s">
        <v>290</v>
      </c>
      <c r="HF1" t="s">
        <v>291</v>
      </c>
      <c r="HG1" t="s">
        <v>292</v>
      </c>
      <c r="HH1" t="s">
        <v>293</v>
      </c>
      <c r="HI1" t="s">
        <v>294</v>
      </c>
      <c r="HJ1" t="s">
        <v>295</v>
      </c>
      <c r="HK1" t="s">
        <v>296</v>
      </c>
      <c r="HL1" t="s">
        <v>297</v>
      </c>
      <c r="HM1" t="s">
        <v>298</v>
      </c>
      <c r="HN1" t="s">
        <v>299</v>
      </c>
      <c r="HO1" t="s">
        <v>300</v>
      </c>
      <c r="HP1" t="s">
        <v>301</v>
      </c>
      <c r="HQ1" t="s">
        <v>302</v>
      </c>
      <c r="HR1" t="s">
        <v>303</v>
      </c>
      <c r="HS1" t="s">
        <v>304</v>
      </c>
      <c r="HT1" t="s">
        <v>305</v>
      </c>
      <c r="HU1" t="s">
        <v>306</v>
      </c>
      <c r="HV1" t="s">
        <v>307</v>
      </c>
      <c r="HW1" t="s">
        <v>308</v>
      </c>
      <c r="HX1" t="s">
        <v>309</v>
      </c>
      <c r="HY1" t="s">
        <v>310</v>
      </c>
      <c r="HZ1" t="s">
        <v>311</v>
      </c>
      <c r="IA1" t="s">
        <v>312</v>
      </c>
      <c r="IB1" t="s">
        <v>313</v>
      </c>
      <c r="IC1" t="s">
        <v>314</v>
      </c>
      <c r="ID1" t="s">
        <v>315</v>
      </c>
      <c r="IE1" t="s">
        <v>316</v>
      </c>
      <c r="IF1" t="s">
        <v>317</v>
      </c>
      <c r="IG1" t="s">
        <v>318</v>
      </c>
      <c r="IH1" t="s">
        <v>319</v>
      </c>
      <c r="II1" t="s">
        <v>320</v>
      </c>
      <c r="IJ1" t="s">
        <v>321</v>
      </c>
      <c r="IK1" t="s">
        <v>322</v>
      </c>
      <c r="IL1" t="s">
        <v>323</v>
      </c>
      <c r="IM1" t="s">
        <v>324</v>
      </c>
      <c r="IN1" t="s">
        <v>325</v>
      </c>
      <c r="IO1" t="s">
        <v>326</v>
      </c>
      <c r="IP1" t="s">
        <v>327</v>
      </c>
      <c r="IQ1" t="s">
        <v>328</v>
      </c>
      <c r="IR1" t="s">
        <v>329</v>
      </c>
      <c r="IS1" t="s">
        <v>330</v>
      </c>
      <c r="IT1" t="s">
        <v>331</v>
      </c>
      <c r="IU1" t="s">
        <v>332</v>
      </c>
      <c r="IV1" t="s">
        <v>333</v>
      </c>
      <c r="IW1" t="s">
        <v>334</v>
      </c>
      <c r="IX1" t="s">
        <v>335</v>
      </c>
      <c r="IY1" t="s">
        <v>336</v>
      </c>
      <c r="IZ1" t="s">
        <v>337</v>
      </c>
      <c r="JA1" t="s">
        <v>338</v>
      </c>
      <c r="JB1" t="s">
        <v>339</v>
      </c>
      <c r="JC1" t="s">
        <v>340</v>
      </c>
      <c r="JD1" t="s">
        <v>341</v>
      </c>
      <c r="JE1" t="s">
        <v>342</v>
      </c>
      <c r="JF1" t="s">
        <v>343</v>
      </c>
      <c r="JG1" t="s">
        <v>344</v>
      </c>
      <c r="JH1" t="s">
        <v>345</v>
      </c>
      <c r="JI1" t="s">
        <v>346</v>
      </c>
      <c r="JJ1" t="s">
        <v>347</v>
      </c>
      <c r="JK1" t="s">
        <v>348</v>
      </c>
      <c r="JL1" t="s">
        <v>349</v>
      </c>
      <c r="JM1" t="s">
        <v>350</v>
      </c>
      <c r="JN1" t="s">
        <v>351</v>
      </c>
      <c r="JO1" t="s">
        <v>352</v>
      </c>
      <c r="JP1" t="s">
        <v>353</v>
      </c>
      <c r="JQ1" t="s">
        <v>354</v>
      </c>
      <c r="JR1" t="s">
        <v>355</v>
      </c>
      <c r="JS1" t="s">
        <v>356</v>
      </c>
      <c r="JT1" t="s">
        <v>357</v>
      </c>
      <c r="JU1" t="s">
        <v>358</v>
      </c>
      <c r="JV1" t="s">
        <v>359</v>
      </c>
      <c r="JW1" t="s">
        <v>360</v>
      </c>
      <c r="JX1" t="s">
        <v>361</v>
      </c>
      <c r="JY1" t="s">
        <v>362</v>
      </c>
      <c r="JZ1" t="s">
        <v>363</v>
      </c>
      <c r="KA1" t="s">
        <v>364</v>
      </c>
      <c r="KB1" t="s">
        <v>365</v>
      </c>
      <c r="KC1" t="s">
        <v>366</v>
      </c>
      <c r="KD1" t="s">
        <v>367</v>
      </c>
      <c r="KE1" t="s">
        <v>368</v>
      </c>
      <c r="KF1" t="s">
        <v>369</v>
      </c>
      <c r="KG1" t="s">
        <v>370</v>
      </c>
      <c r="KH1" t="s">
        <v>371</v>
      </c>
      <c r="KI1" t="s">
        <v>372</v>
      </c>
      <c r="KJ1" t="s">
        <v>373</v>
      </c>
      <c r="KK1" t="s">
        <v>374</v>
      </c>
      <c r="KL1" t="s">
        <v>375</v>
      </c>
      <c r="KM1" t="s">
        <v>376</v>
      </c>
      <c r="KN1" t="s">
        <v>377</v>
      </c>
      <c r="KO1" t="s">
        <v>378</v>
      </c>
      <c r="KP1" t="s">
        <v>379</v>
      </c>
      <c r="KQ1" t="s">
        <v>380</v>
      </c>
      <c r="KR1" t="s">
        <v>381</v>
      </c>
      <c r="KS1" t="s">
        <v>382</v>
      </c>
      <c r="KT1" t="s">
        <v>383</v>
      </c>
      <c r="KU1" t="s">
        <v>384</v>
      </c>
      <c r="KV1" t="s">
        <v>385</v>
      </c>
      <c r="KW1" t="s">
        <v>386</v>
      </c>
      <c r="KX1" t="s">
        <v>387</v>
      </c>
      <c r="KY1" t="s">
        <v>388</v>
      </c>
      <c r="KZ1" t="s">
        <v>389</v>
      </c>
      <c r="LA1" t="s">
        <v>390</v>
      </c>
      <c r="LB1" t="s">
        <v>391</v>
      </c>
      <c r="LC1" t="s">
        <v>392</v>
      </c>
      <c r="LD1" t="s">
        <v>393</v>
      </c>
      <c r="LE1" t="s">
        <v>394</v>
      </c>
      <c r="LF1" t="s">
        <v>395</v>
      </c>
      <c r="LG1" t="s">
        <v>396</v>
      </c>
      <c r="LH1" t="s">
        <v>397</v>
      </c>
      <c r="LI1" t="s">
        <v>398</v>
      </c>
      <c r="LJ1" t="s">
        <v>399</v>
      </c>
      <c r="LK1" t="s">
        <v>400</v>
      </c>
      <c r="LL1" t="s">
        <v>401</v>
      </c>
      <c r="LM1" t="s">
        <v>402</v>
      </c>
      <c r="LN1" t="s">
        <v>403</v>
      </c>
      <c r="LO1" t="s">
        <v>404</v>
      </c>
      <c r="LP1" t="s">
        <v>405</v>
      </c>
      <c r="LQ1" t="s">
        <v>406</v>
      </c>
      <c r="LR1" t="s">
        <v>407</v>
      </c>
      <c r="LS1" t="s">
        <v>408</v>
      </c>
      <c r="LT1" t="s">
        <v>409</v>
      </c>
      <c r="LU1" t="s">
        <v>410</v>
      </c>
      <c r="LV1" t="s">
        <v>411</v>
      </c>
      <c r="LW1" t="s">
        <v>412</v>
      </c>
      <c r="LX1" t="s">
        <v>413</v>
      </c>
      <c r="LY1" t="s">
        <v>414</v>
      </c>
      <c r="LZ1" t="s">
        <v>415</v>
      </c>
      <c r="MA1" t="s">
        <v>416</v>
      </c>
      <c r="MB1" t="s">
        <v>417</v>
      </c>
      <c r="MC1" t="s">
        <v>418</v>
      </c>
      <c r="MD1" t="s">
        <v>419</v>
      </c>
      <c r="ME1" t="s">
        <v>420</v>
      </c>
      <c r="MF1" t="s">
        <v>421</v>
      </c>
      <c r="MG1" t="s">
        <v>422</v>
      </c>
      <c r="MH1" t="s">
        <v>423</v>
      </c>
      <c r="MI1" t="s">
        <v>424</v>
      </c>
      <c r="MJ1" t="s">
        <v>425</v>
      </c>
      <c r="MK1" t="s">
        <v>426</v>
      </c>
      <c r="ML1" t="s">
        <v>427</v>
      </c>
      <c r="MM1" t="s">
        <v>428</v>
      </c>
      <c r="MN1" t="s">
        <v>429</v>
      </c>
      <c r="MO1" t="s">
        <v>430</v>
      </c>
      <c r="MP1" t="s">
        <v>431</v>
      </c>
      <c r="MQ1" t="s">
        <v>432</v>
      </c>
      <c r="MR1" t="s">
        <v>433</v>
      </c>
      <c r="MS1" t="s">
        <v>434</v>
      </c>
      <c r="MT1" t="s">
        <v>435</v>
      </c>
      <c r="MU1" t="s">
        <v>436</v>
      </c>
      <c r="MV1" t="s">
        <v>437</v>
      </c>
      <c r="MW1" t="s">
        <v>438</v>
      </c>
      <c r="MX1" t="s">
        <v>439</v>
      </c>
      <c r="MY1" t="s">
        <v>440</v>
      </c>
      <c r="MZ1" t="s">
        <v>441</v>
      </c>
      <c r="NA1" t="s">
        <v>442</v>
      </c>
      <c r="NB1" t="s">
        <v>443</v>
      </c>
      <c r="NC1" t="s">
        <v>444</v>
      </c>
      <c r="ND1" t="s">
        <v>445</v>
      </c>
      <c r="NE1" t="s">
        <v>446</v>
      </c>
      <c r="NF1" t="s">
        <v>447</v>
      </c>
      <c r="NG1" t="s">
        <v>448</v>
      </c>
      <c r="NH1" t="s">
        <v>449</v>
      </c>
      <c r="NI1" t="s">
        <v>450</v>
      </c>
      <c r="NJ1" t="s">
        <v>451</v>
      </c>
      <c r="NK1" t="s">
        <v>452</v>
      </c>
      <c r="NL1" t="s">
        <v>453</v>
      </c>
      <c r="NM1" t="s">
        <v>454</v>
      </c>
      <c r="NN1" t="s">
        <v>455</v>
      </c>
      <c r="NO1" t="s">
        <v>456</v>
      </c>
      <c r="NP1" t="s">
        <v>457</v>
      </c>
      <c r="NQ1" t="s">
        <v>458</v>
      </c>
      <c r="NR1" t="s">
        <v>459</v>
      </c>
      <c r="NS1" t="s">
        <v>460</v>
      </c>
      <c r="NT1" t="s">
        <v>461</v>
      </c>
      <c r="NU1" t="s">
        <v>462</v>
      </c>
      <c r="NV1" t="s">
        <v>463</v>
      </c>
      <c r="NW1" t="s">
        <v>464</v>
      </c>
      <c r="NX1" t="s">
        <v>465</v>
      </c>
      <c r="NY1" t="s">
        <v>466</v>
      </c>
      <c r="NZ1" t="s">
        <v>467</v>
      </c>
      <c r="OA1" t="s">
        <v>468</v>
      </c>
      <c r="OB1" t="s">
        <v>469</v>
      </c>
      <c r="OC1" t="s">
        <v>470</v>
      </c>
      <c r="OD1" t="s">
        <v>471</v>
      </c>
      <c r="OE1" t="s">
        <v>472</v>
      </c>
      <c r="OF1" t="s">
        <v>473</v>
      </c>
      <c r="OG1" t="s">
        <v>474</v>
      </c>
      <c r="OH1" t="s">
        <v>475</v>
      </c>
      <c r="OI1" t="s">
        <v>476</v>
      </c>
      <c r="OJ1" t="s">
        <v>477</v>
      </c>
      <c r="OK1" t="s">
        <v>478</v>
      </c>
      <c r="OL1" t="s">
        <v>479</v>
      </c>
      <c r="OM1" t="s">
        <v>480</v>
      </c>
      <c r="ON1" t="s">
        <v>481</v>
      </c>
      <c r="OO1" t="s">
        <v>482</v>
      </c>
      <c r="OP1" t="s">
        <v>483</v>
      </c>
      <c r="OQ1" t="s">
        <v>484</v>
      </c>
      <c r="OR1" t="s">
        <v>485</v>
      </c>
      <c r="OS1" t="s">
        <v>486</v>
      </c>
      <c r="OT1" t="s">
        <v>487</v>
      </c>
      <c r="OU1" t="s">
        <v>488</v>
      </c>
      <c r="OV1" t="s">
        <v>489</v>
      </c>
      <c r="OW1" t="s">
        <v>490</v>
      </c>
      <c r="OX1" t="s">
        <v>491</v>
      </c>
      <c r="OY1" t="s">
        <v>492</v>
      </c>
      <c r="OZ1" t="s">
        <v>493</v>
      </c>
      <c r="PA1" t="s">
        <v>494</v>
      </c>
      <c r="PB1" t="s">
        <v>495</v>
      </c>
      <c r="PC1" t="s">
        <v>496</v>
      </c>
      <c r="PD1" t="s">
        <v>497</v>
      </c>
      <c r="PE1" t="s">
        <v>498</v>
      </c>
      <c r="PF1" t="s">
        <v>499</v>
      </c>
      <c r="PG1" t="s">
        <v>500</v>
      </c>
      <c r="PH1" t="s">
        <v>501</v>
      </c>
      <c r="PI1" t="s">
        <v>502</v>
      </c>
      <c r="PJ1" t="s">
        <v>503</v>
      </c>
      <c r="PK1" t="s">
        <v>504</v>
      </c>
      <c r="PL1" t="s">
        <v>505</v>
      </c>
      <c r="PM1" t="s">
        <v>506</v>
      </c>
      <c r="PN1" t="s">
        <v>507</v>
      </c>
      <c r="PO1" t="s">
        <v>508</v>
      </c>
      <c r="PP1" t="s">
        <v>509</v>
      </c>
      <c r="PQ1" t="s">
        <v>510</v>
      </c>
      <c r="PR1" t="s">
        <v>511</v>
      </c>
      <c r="PS1" t="s">
        <v>512</v>
      </c>
      <c r="PT1" t="s">
        <v>513</v>
      </c>
      <c r="PU1" t="s">
        <v>514</v>
      </c>
      <c r="PV1" t="s">
        <v>515</v>
      </c>
      <c r="PW1" t="s">
        <v>516</v>
      </c>
      <c r="PX1" t="s">
        <v>517</v>
      </c>
      <c r="PY1" t="s">
        <v>518</v>
      </c>
      <c r="PZ1" t="s">
        <v>519</v>
      </c>
      <c r="QA1" t="s">
        <v>520</v>
      </c>
      <c r="QB1" t="s">
        <v>521</v>
      </c>
      <c r="QC1" t="s">
        <v>522</v>
      </c>
      <c r="QD1" t="s">
        <v>523</v>
      </c>
      <c r="QE1" t="s">
        <v>524</v>
      </c>
      <c r="QF1" t="s">
        <v>525</v>
      </c>
      <c r="QG1" t="s">
        <v>526</v>
      </c>
      <c r="QH1" t="s">
        <v>527</v>
      </c>
      <c r="QI1" t="s">
        <v>528</v>
      </c>
      <c r="QJ1" t="s">
        <v>529</v>
      </c>
      <c r="QK1" t="s">
        <v>530</v>
      </c>
      <c r="QL1" t="s">
        <v>531</v>
      </c>
      <c r="QM1" t="s">
        <v>532</v>
      </c>
      <c r="QN1" t="s">
        <v>533</v>
      </c>
      <c r="QO1" t="s">
        <v>534</v>
      </c>
      <c r="QP1" t="s">
        <v>535</v>
      </c>
      <c r="QQ1" t="s">
        <v>536</v>
      </c>
      <c r="QR1" t="s">
        <v>537</v>
      </c>
      <c r="QS1" t="s">
        <v>538</v>
      </c>
      <c r="QT1" t="s">
        <v>539</v>
      </c>
      <c r="QU1" t="s">
        <v>540</v>
      </c>
      <c r="QV1" t="s">
        <v>541</v>
      </c>
      <c r="QW1" t="s">
        <v>542</v>
      </c>
      <c r="QX1" t="s">
        <v>543</v>
      </c>
      <c r="QY1" t="s">
        <v>544</v>
      </c>
      <c r="QZ1" t="s">
        <v>545</v>
      </c>
      <c r="RA1" t="s">
        <v>546</v>
      </c>
      <c r="RB1" t="s">
        <v>547</v>
      </c>
      <c r="RC1" t="s">
        <v>548</v>
      </c>
      <c r="RD1" t="s">
        <v>549</v>
      </c>
      <c r="RE1" t="s">
        <v>550</v>
      </c>
      <c r="RF1" t="s">
        <v>551</v>
      </c>
      <c r="RG1" t="s">
        <v>552</v>
      </c>
      <c r="RH1" t="s">
        <v>553</v>
      </c>
      <c r="RI1" t="s">
        <v>554</v>
      </c>
      <c r="RJ1" t="s">
        <v>555</v>
      </c>
      <c r="RK1" t="s">
        <v>556</v>
      </c>
      <c r="RL1" t="s">
        <v>557</v>
      </c>
      <c r="RM1" t="s">
        <v>558</v>
      </c>
      <c r="RN1" t="s">
        <v>559</v>
      </c>
      <c r="RO1" t="s">
        <v>560</v>
      </c>
      <c r="RP1" t="s">
        <v>561</v>
      </c>
      <c r="RQ1" t="s">
        <v>562</v>
      </c>
      <c r="RR1" t="s">
        <v>563</v>
      </c>
      <c r="RS1" t="s">
        <v>564</v>
      </c>
      <c r="RT1" t="s">
        <v>565</v>
      </c>
      <c r="RU1" t="s">
        <v>566</v>
      </c>
      <c r="RV1" t="s">
        <v>567</v>
      </c>
      <c r="RW1" t="s">
        <v>568</v>
      </c>
      <c r="RX1" t="s">
        <v>569</v>
      </c>
      <c r="RY1" t="s">
        <v>570</v>
      </c>
      <c r="RZ1" t="s">
        <v>571</v>
      </c>
      <c r="SA1" t="s">
        <v>572</v>
      </c>
      <c r="SB1" t="s">
        <v>573</v>
      </c>
      <c r="SC1" t="s">
        <v>574</v>
      </c>
      <c r="SD1" t="s">
        <v>575</v>
      </c>
      <c r="SE1" t="s">
        <v>576</v>
      </c>
      <c r="SF1" t="s">
        <v>577</v>
      </c>
      <c r="SG1" t="s">
        <v>578</v>
      </c>
      <c r="SH1" t="s">
        <v>579</v>
      </c>
      <c r="SI1" t="s">
        <v>580</v>
      </c>
      <c r="SJ1" t="s">
        <v>581</v>
      </c>
      <c r="SK1" t="s">
        <v>582</v>
      </c>
      <c r="SL1" t="s">
        <v>583</v>
      </c>
      <c r="SM1" t="s">
        <v>584</v>
      </c>
      <c r="SN1" t="s">
        <v>585</v>
      </c>
      <c r="SO1" t="s">
        <v>586</v>
      </c>
      <c r="SP1" t="s">
        <v>587</v>
      </c>
      <c r="SQ1" t="s">
        <v>588</v>
      </c>
      <c r="SR1" t="s">
        <v>589</v>
      </c>
      <c r="SS1" t="s">
        <v>590</v>
      </c>
      <c r="ST1" t="s">
        <v>591</v>
      </c>
      <c r="SU1" t="s">
        <v>592</v>
      </c>
      <c r="SV1" t="s">
        <v>593</v>
      </c>
      <c r="SW1" t="s">
        <v>594</v>
      </c>
      <c r="SX1" t="s">
        <v>595</v>
      </c>
      <c r="SY1" t="s">
        <v>596</v>
      </c>
      <c r="SZ1" t="s">
        <v>597</v>
      </c>
      <c r="TA1" t="s">
        <v>598</v>
      </c>
      <c r="TB1" t="s">
        <v>599</v>
      </c>
      <c r="TC1" t="s">
        <v>600</v>
      </c>
      <c r="TD1" t="s">
        <v>601</v>
      </c>
      <c r="TE1" t="s">
        <v>602</v>
      </c>
      <c r="TF1" t="s">
        <v>603</v>
      </c>
      <c r="TG1" t="s">
        <v>604</v>
      </c>
      <c r="TH1" t="s">
        <v>605</v>
      </c>
      <c r="TI1" t="s">
        <v>606</v>
      </c>
      <c r="TJ1" t="s">
        <v>607</v>
      </c>
      <c r="TK1" t="s">
        <v>608</v>
      </c>
      <c r="TL1" t="s">
        <v>609</v>
      </c>
      <c r="TM1" t="s">
        <v>610</v>
      </c>
      <c r="TN1" t="s">
        <v>611</v>
      </c>
      <c r="TO1" t="s">
        <v>612</v>
      </c>
      <c r="TP1" t="s">
        <v>613</v>
      </c>
      <c r="TQ1" t="s">
        <v>614</v>
      </c>
      <c r="TR1" t="s">
        <v>615</v>
      </c>
      <c r="TS1" t="s">
        <v>616</v>
      </c>
      <c r="TT1" t="s">
        <v>617</v>
      </c>
      <c r="TU1" t="s">
        <v>618</v>
      </c>
      <c r="TV1" t="s">
        <v>619</v>
      </c>
      <c r="TW1" t="s">
        <v>620</v>
      </c>
      <c r="TX1" t="s">
        <v>621</v>
      </c>
      <c r="TY1" t="s">
        <v>622</v>
      </c>
      <c r="TZ1" t="s">
        <v>623</v>
      </c>
      <c r="UA1" t="s">
        <v>624</v>
      </c>
      <c r="UB1" t="s">
        <v>625</v>
      </c>
      <c r="UC1" t="s">
        <v>626</v>
      </c>
      <c r="UD1" t="s">
        <v>627</v>
      </c>
      <c r="UE1" t="s">
        <v>628</v>
      </c>
      <c r="UF1" t="s">
        <v>629</v>
      </c>
      <c r="UG1" t="s">
        <v>630</v>
      </c>
      <c r="UH1" t="s">
        <v>631</v>
      </c>
      <c r="UI1" t="s">
        <v>632</v>
      </c>
      <c r="UJ1" t="s">
        <v>633</v>
      </c>
      <c r="UK1" t="s">
        <v>634</v>
      </c>
      <c r="UL1" t="s">
        <v>635</v>
      </c>
      <c r="UM1" t="s">
        <v>636</v>
      </c>
      <c r="UN1" t="s">
        <v>637</v>
      </c>
      <c r="UO1" t="s">
        <v>638</v>
      </c>
      <c r="UP1" t="s">
        <v>639</v>
      </c>
      <c r="UQ1" t="s">
        <v>640</v>
      </c>
      <c r="UR1" t="s">
        <v>641</v>
      </c>
      <c r="US1" t="s">
        <v>642</v>
      </c>
      <c r="UT1" t="s">
        <v>643</v>
      </c>
      <c r="UU1" t="s">
        <v>644</v>
      </c>
      <c r="UV1" t="s">
        <v>645</v>
      </c>
      <c r="UW1" t="s">
        <v>646</v>
      </c>
      <c r="UX1" t="s">
        <v>647</v>
      </c>
      <c r="UY1" t="s">
        <v>648</v>
      </c>
      <c r="UZ1" t="s">
        <v>649</v>
      </c>
      <c r="VA1" t="s">
        <v>650</v>
      </c>
      <c r="VB1" t="s">
        <v>651</v>
      </c>
      <c r="VC1" t="s">
        <v>652</v>
      </c>
      <c r="VD1" t="s">
        <v>653</v>
      </c>
      <c r="VE1" t="s">
        <v>654</v>
      </c>
      <c r="VF1" t="s">
        <v>655</v>
      </c>
      <c r="VG1" t="s">
        <v>656</v>
      </c>
      <c r="VH1" t="s">
        <v>657</v>
      </c>
      <c r="VI1" t="s">
        <v>658</v>
      </c>
      <c r="VJ1" t="s">
        <v>659</v>
      </c>
      <c r="VK1" t="s">
        <v>660</v>
      </c>
      <c r="VL1" t="s">
        <v>661</v>
      </c>
      <c r="VM1" t="s">
        <v>662</v>
      </c>
      <c r="VN1" t="s">
        <v>663</v>
      </c>
      <c r="VO1" t="s">
        <v>664</v>
      </c>
      <c r="VP1" t="s">
        <v>665</v>
      </c>
      <c r="VQ1" t="s">
        <v>666</v>
      </c>
      <c r="VR1" t="s">
        <v>667</v>
      </c>
      <c r="VS1" t="s">
        <v>668</v>
      </c>
      <c r="VT1" t="s">
        <v>669</v>
      </c>
      <c r="VU1" t="s">
        <v>670</v>
      </c>
      <c r="VV1" t="s">
        <v>671</v>
      </c>
      <c r="VW1" t="s">
        <v>672</v>
      </c>
      <c r="VX1" t="s">
        <v>673</v>
      </c>
      <c r="VY1" t="s">
        <v>674</v>
      </c>
      <c r="VZ1" t="s">
        <v>675</v>
      </c>
      <c r="WA1" t="s">
        <v>676</v>
      </c>
      <c r="WB1" t="s">
        <v>677</v>
      </c>
      <c r="WC1" t="s">
        <v>678</v>
      </c>
      <c r="WD1" t="s">
        <v>679</v>
      </c>
      <c r="WE1" t="s">
        <v>680</v>
      </c>
      <c r="WF1" t="s">
        <v>681</v>
      </c>
      <c r="WG1" t="s">
        <v>682</v>
      </c>
      <c r="WH1" t="s">
        <v>683</v>
      </c>
      <c r="WI1" t="s">
        <v>684</v>
      </c>
      <c r="WJ1" t="s">
        <v>685</v>
      </c>
      <c r="WK1" t="s">
        <v>686</v>
      </c>
      <c r="WL1" t="s">
        <v>687</v>
      </c>
      <c r="WM1" t="s">
        <v>688</v>
      </c>
      <c r="WN1" t="s">
        <v>689</v>
      </c>
      <c r="WO1" t="s">
        <v>690</v>
      </c>
      <c r="WP1" t="s">
        <v>691</v>
      </c>
      <c r="WQ1" t="s">
        <v>692</v>
      </c>
      <c r="WR1" t="s">
        <v>693</v>
      </c>
      <c r="WS1" t="s">
        <v>694</v>
      </c>
      <c r="WT1" t="s">
        <v>695</v>
      </c>
      <c r="WU1" t="s">
        <v>696</v>
      </c>
      <c r="WV1" t="s">
        <v>697</v>
      </c>
      <c r="WW1" t="s">
        <v>698</v>
      </c>
      <c r="WX1" t="s">
        <v>699</v>
      </c>
      <c r="WY1" t="s">
        <v>700</v>
      </c>
      <c r="WZ1" t="s">
        <v>701</v>
      </c>
      <c r="XA1" t="s">
        <v>702</v>
      </c>
      <c r="XB1" t="s">
        <v>703</v>
      </c>
      <c r="XC1" t="s">
        <v>704</v>
      </c>
      <c r="XD1" t="s">
        <v>705</v>
      </c>
      <c r="XE1" t="s">
        <v>706</v>
      </c>
      <c r="XF1" t="s">
        <v>707</v>
      </c>
      <c r="XG1" t="s">
        <v>708</v>
      </c>
      <c r="XH1" t="s">
        <v>709</v>
      </c>
      <c r="XI1" t="s">
        <v>710</v>
      </c>
      <c r="XJ1" t="s">
        <v>711</v>
      </c>
      <c r="XK1" t="s">
        <v>712</v>
      </c>
      <c r="XL1" t="s">
        <v>713</v>
      </c>
      <c r="XM1" t="s">
        <v>714</v>
      </c>
      <c r="XN1" t="s">
        <v>715</v>
      </c>
      <c r="XO1" t="s">
        <v>716</v>
      </c>
      <c r="XP1" t="s">
        <v>717</v>
      </c>
      <c r="XQ1" t="s">
        <v>718</v>
      </c>
      <c r="XR1" t="s">
        <v>719</v>
      </c>
      <c r="XS1" t="s">
        <v>720</v>
      </c>
      <c r="XT1" t="s">
        <v>721</v>
      </c>
      <c r="XU1" t="s">
        <v>722</v>
      </c>
      <c r="XV1" t="s">
        <v>723</v>
      </c>
      <c r="XW1" t="s">
        <v>724</v>
      </c>
      <c r="XX1" t="s">
        <v>725</v>
      </c>
      <c r="XY1" t="s">
        <v>726</v>
      </c>
      <c r="XZ1" t="s">
        <v>727</v>
      </c>
      <c r="YA1" t="s">
        <v>728</v>
      </c>
      <c r="YB1" t="s">
        <v>729</v>
      </c>
      <c r="YC1" t="s">
        <v>730</v>
      </c>
      <c r="YD1" t="s">
        <v>731</v>
      </c>
      <c r="YE1" t="s">
        <v>732</v>
      </c>
      <c r="YF1" t="s">
        <v>733</v>
      </c>
      <c r="YG1" t="s">
        <v>734</v>
      </c>
      <c r="YH1" t="s">
        <v>735</v>
      </c>
      <c r="YI1" t="s">
        <v>736</v>
      </c>
      <c r="YJ1" t="s">
        <v>737</v>
      </c>
      <c r="YK1" t="s">
        <v>738</v>
      </c>
      <c r="YL1" t="s">
        <v>739</v>
      </c>
      <c r="YM1" t="s">
        <v>740</v>
      </c>
      <c r="YN1" t="s">
        <v>741</v>
      </c>
      <c r="YO1" t="s">
        <v>742</v>
      </c>
      <c r="YP1" t="s">
        <v>743</v>
      </c>
      <c r="YQ1" t="s">
        <v>744</v>
      </c>
      <c r="YR1" t="s">
        <v>745</v>
      </c>
      <c r="YS1" t="s">
        <v>746</v>
      </c>
      <c r="YT1" t="s">
        <v>747</v>
      </c>
      <c r="YU1" t="s">
        <v>748</v>
      </c>
      <c r="YV1" t="s">
        <v>749</v>
      </c>
      <c r="YW1" t="s">
        <v>750</v>
      </c>
      <c r="YX1" t="s">
        <v>751</v>
      </c>
      <c r="YY1" t="s">
        <v>752</v>
      </c>
      <c r="YZ1" t="s">
        <v>753</v>
      </c>
      <c r="ZA1" t="s">
        <v>754</v>
      </c>
      <c r="ZB1" t="s">
        <v>755</v>
      </c>
      <c r="ZC1" t="s">
        <v>756</v>
      </c>
      <c r="ZD1" t="s">
        <v>757</v>
      </c>
      <c r="ZE1" t="s">
        <v>758</v>
      </c>
      <c r="ZF1" t="s">
        <v>759</v>
      </c>
      <c r="ZG1" t="s">
        <v>760</v>
      </c>
      <c r="ZH1" t="s">
        <v>761</v>
      </c>
      <c r="ZI1" t="s">
        <v>762</v>
      </c>
      <c r="ZJ1" t="s">
        <v>763</v>
      </c>
      <c r="ZK1" t="s">
        <v>764</v>
      </c>
      <c r="ZL1" t="s">
        <v>765</v>
      </c>
      <c r="ZM1" t="s">
        <v>766</v>
      </c>
      <c r="ZN1" t="s">
        <v>767</v>
      </c>
      <c r="ZO1" t="s">
        <v>768</v>
      </c>
      <c r="ZP1" t="s">
        <v>769</v>
      </c>
      <c r="ZQ1" t="s">
        <v>770</v>
      </c>
      <c r="ZR1" t="s">
        <v>771</v>
      </c>
      <c r="ZS1" t="s">
        <v>772</v>
      </c>
      <c r="ZT1" t="s">
        <v>773</v>
      </c>
      <c r="ZU1" t="s">
        <v>774</v>
      </c>
      <c r="ZV1" t="s">
        <v>775</v>
      </c>
      <c r="ZW1" t="s">
        <v>776</v>
      </c>
      <c r="ZX1" t="s">
        <v>777</v>
      </c>
      <c r="ZY1" t="s">
        <v>778</v>
      </c>
      <c r="ZZ1" t="s">
        <v>779</v>
      </c>
      <c r="AAA1" t="s">
        <v>780</v>
      </c>
      <c r="AAB1" t="s">
        <v>781</v>
      </c>
      <c r="AAC1" t="s">
        <v>782</v>
      </c>
      <c r="AAD1" t="s">
        <v>783</v>
      </c>
      <c r="AAE1" t="s">
        <v>784</v>
      </c>
      <c r="AAF1" t="s">
        <v>785</v>
      </c>
      <c r="AAG1" t="s">
        <v>786</v>
      </c>
      <c r="AAH1" t="s">
        <v>787</v>
      </c>
      <c r="AAI1" t="s">
        <v>788</v>
      </c>
      <c r="AAJ1" t="s">
        <v>789</v>
      </c>
      <c r="AAK1" t="s">
        <v>790</v>
      </c>
      <c r="AAL1" t="s">
        <v>791</v>
      </c>
      <c r="AAM1" t="s">
        <v>792</v>
      </c>
      <c r="AAN1" t="s">
        <v>793</v>
      </c>
      <c r="AAO1" t="s">
        <v>794</v>
      </c>
      <c r="AAP1" t="s">
        <v>795</v>
      </c>
      <c r="AAQ1" t="s">
        <v>796</v>
      </c>
      <c r="AAR1" t="s">
        <v>797</v>
      </c>
      <c r="AAS1" t="s">
        <v>798</v>
      </c>
      <c r="AAT1" t="s">
        <v>799</v>
      </c>
      <c r="AAU1" t="s">
        <v>800</v>
      </c>
      <c r="AAV1" t="s">
        <v>801</v>
      </c>
      <c r="AAW1" t="s">
        <v>802</v>
      </c>
      <c r="AAX1" t="s">
        <v>803</v>
      </c>
      <c r="AAY1" t="s">
        <v>804</v>
      </c>
      <c r="AAZ1" t="s">
        <v>805</v>
      </c>
      <c r="ABA1" t="s">
        <v>806</v>
      </c>
      <c r="ABB1" t="s">
        <v>807</v>
      </c>
      <c r="ABC1" t="s">
        <v>808</v>
      </c>
      <c r="ABD1" t="s">
        <v>809</v>
      </c>
      <c r="ABE1" t="s">
        <v>810</v>
      </c>
      <c r="ABF1" t="s">
        <v>811</v>
      </c>
      <c r="ABG1" t="s">
        <v>812</v>
      </c>
      <c r="ABH1" t="s">
        <v>813</v>
      </c>
      <c r="ABI1" t="s">
        <v>814</v>
      </c>
      <c r="ABJ1" t="s">
        <v>815</v>
      </c>
      <c r="ABK1" t="s">
        <v>816</v>
      </c>
      <c r="ABL1" t="s">
        <v>817</v>
      </c>
      <c r="ABM1" t="s">
        <v>818</v>
      </c>
      <c r="ABN1" t="s">
        <v>819</v>
      </c>
      <c r="ABO1" t="s">
        <v>820</v>
      </c>
      <c r="ABP1" t="s">
        <v>821</v>
      </c>
      <c r="ABQ1" t="s">
        <v>822</v>
      </c>
      <c r="ABR1" t="s">
        <v>823</v>
      </c>
      <c r="ABS1" t="s">
        <v>824</v>
      </c>
      <c r="ABT1" t="s">
        <v>825</v>
      </c>
      <c r="ABU1" t="s">
        <v>826</v>
      </c>
      <c r="ABV1" t="s">
        <v>827</v>
      </c>
      <c r="ABW1" t="s">
        <v>828</v>
      </c>
      <c r="ABX1" t="s">
        <v>829</v>
      </c>
      <c r="ABY1" t="s">
        <v>830</v>
      </c>
      <c r="ABZ1" t="s">
        <v>831</v>
      </c>
      <c r="ACA1" t="s">
        <v>832</v>
      </c>
      <c r="ACB1" t="s">
        <v>833</v>
      </c>
      <c r="ACC1" t="s">
        <v>834</v>
      </c>
      <c r="ACD1" t="s">
        <v>835</v>
      </c>
      <c r="ACE1" t="s">
        <v>836</v>
      </c>
      <c r="ACF1" t="s">
        <v>837</v>
      </c>
      <c r="ACG1" t="s">
        <v>838</v>
      </c>
      <c r="ACH1" t="s">
        <v>839</v>
      </c>
      <c r="ACI1" t="s">
        <v>840</v>
      </c>
      <c r="ACJ1" t="s">
        <v>841</v>
      </c>
      <c r="ACK1" t="s">
        <v>842</v>
      </c>
      <c r="ACL1" t="s">
        <v>843</v>
      </c>
      <c r="ACM1" t="s">
        <v>844</v>
      </c>
      <c r="ACN1" t="s">
        <v>845</v>
      </c>
      <c r="ACO1" t="s">
        <v>846</v>
      </c>
      <c r="ACP1" t="s">
        <v>847</v>
      </c>
      <c r="ACQ1" t="s">
        <v>848</v>
      </c>
      <c r="ACR1" t="s">
        <v>849</v>
      </c>
      <c r="ACS1" t="s">
        <v>850</v>
      </c>
      <c r="ACT1" t="s">
        <v>851</v>
      </c>
      <c r="ACU1" t="s">
        <v>852</v>
      </c>
      <c r="ACV1" t="s">
        <v>853</v>
      </c>
      <c r="ACW1" t="s">
        <v>854</v>
      </c>
      <c r="ACX1" t="s">
        <v>855</v>
      </c>
      <c r="ACY1" t="s">
        <v>856</v>
      </c>
      <c r="ACZ1" t="s">
        <v>857</v>
      </c>
      <c r="ADA1" t="s">
        <v>858</v>
      </c>
      <c r="ADB1" t="s">
        <v>859</v>
      </c>
      <c r="ADC1" t="s">
        <v>860</v>
      </c>
      <c r="ADD1" t="s">
        <v>861</v>
      </c>
      <c r="ADE1" t="s">
        <v>862</v>
      </c>
      <c r="ADF1" t="s">
        <v>863</v>
      </c>
      <c r="ADG1" t="s">
        <v>864</v>
      </c>
      <c r="ADH1" t="s">
        <v>865</v>
      </c>
      <c r="ADI1" t="s">
        <v>866</v>
      </c>
      <c r="ADJ1" t="s">
        <v>867</v>
      </c>
      <c r="ADK1" t="s">
        <v>868</v>
      </c>
      <c r="ADL1" t="s">
        <v>869</v>
      </c>
      <c r="ADM1" t="s">
        <v>870</v>
      </c>
      <c r="ADN1" t="s">
        <v>871</v>
      </c>
      <c r="ADO1" t="s">
        <v>872</v>
      </c>
      <c r="ADP1" t="s">
        <v>873</v>
      </c>
      <c r="ADQ1" t="s">
        <v>874</v>
      </c>
      <c r="ADR1" t="s">
        <v>875</v>
      </c>
      <c r="ADS1" t="s">
        <v>876</v>
      </c>
      <c r="ADT1" t="s">
        <v>877</v>
      </c>
      <c r="ADU1" t="s">
        <v>878</v>
      </c>
      <c r="ADV1" t="s">
        <v>879</v>
      </c>
      <c r="ADW1" t="s">
        <v>880</v>
      </c>
      <c r="ADX1" t="s">
        <v>881</v>
      </c>
      <c r="ADY1" t="s">
        <v>882</v>
      </c>
      <c r="ADZ1" t="s">
        <v>883</v>
      </c>
      <c r="AEA1" t="s">
        <v>884</v>
      </c>
      <c r="AEB1" t="s">
        <v>885</v>
      </c>
      <c r="AEC1" t="s">
        <v>886</v>
      </c>
      <c r="AED1" t="s">
        <v>887</v>
      </c>
      <c r="AEE1" t="s">
        <v>888</v>
      </c>
      <c r="AEF1" t="s">
        <v>889</v>
      </c>
      <c r="AEG1" t="s">
        <v>890</v>
      </c>
      <c r="AEH1" t="s">
        <v>891</v>
      </c>
      <c r="AEI1" t="s">
        <v>892</v>
      </c>
      <c r="AEJ1" t="s">
        <v>893</v>
      </c>
      <c r="AEK1" t="s">
        <v>894</v>
      </c>
      <c r="AEL1" t="s">
        <v>895</v>
      </c>
      <c r="AEM1" t="s">
        <v>896</v>
      </c>
      <c r="AEN1" t="s">
        <v>897</v>
      </c>
      <c r="AEO1" t="s">
        <v>898</v>
      </c>
      <c r="AEP1" t="s">
        <v>899</v>
      </c>
      <c r="AEQ1" t="s">
        <v>900</v>
      </c>
      <c r="AER1" t="s">
        <v>901</v>
      </c>
      <c r="AES1" t="s">
        <v>902</v>
      </c>
      <c r="AET1" t="s">
        <v>903</v>
      </c>
      <c r="AEU1" t="s">
        <v>904</v>
      </c>
      <c r="AEV1" t="s">
        <v>905</v>
      </c>
      <c r="AEW1" t="s">
        <v>906</v>
      </c>
      <c r="AEX1" t="s">
        <v>907</v>
      </c>
      <c r="AEY1" t="s">
        <v>908</v>
      </c>
      <c r="AEZ1" t="s">
        <v>909</v>
      </c>
      <c r="AFA1" t="s">
        <v>910</v>
      </c>
      <c r="AFB1" t="s">
        <v>911</v>
      </c>
      <c r="AFC1" t="s">
        <v>912</v>
      </c>
      <c r="AFD1" t="s">
        <v>913</v>
      </c>
      <c r="AFE1" t="s">
        <v>914</v>
      </c>
      <c r="AFF1" t="s">
        <v>915</v>
      </c>
      <c r="AFG1" t="s">
        <v>916</v>
      </c>
      <c r="AFH1" t="s">
        <v>917</v>
      </c>
      <c r="AFI1" t="s">
        <v>918</v>
      </c>
      <c r="AFJ1" t="s">
        <v>919</v>
      </c>
      <c r="AFK1" t="s">
        <v>920</v>
      </c>
      <c r="AFL1" t="s">
        <v>921</v>
      </c>
      <c r="AFM1" t="s">
        <v>922</v>
      </c>
      <c r="AFN1" t="s">
        <v>923</v>
      </c>
      <c r="AFO1" t="s">
        <v>924</v>
      </c>
      <c r="AFP1" t="s">
        <v>925</v>
      </c>
      <c r="AFQ1" t="s">
        <v>926</v>
      </c>
      <c r="AFR1" t="s">
        <v>927</v>
      </c>
      <c r="AFS1" t="s">
        <v>928</v>
      </c>
      <c r="AFT1" t="s">
        <v>929</v>
      </c>
      <c r="AFU1" t="s">
        <v>930</v>
      </c>
      <c r="AFV1" t="s">
        <v>931</v>
      </c>
      <c r="AFW1" t="s">
        <v>932</v>
      </c>
      <c r="AFX1" t="s">
        <v>933</v>
      </c>
      <c r="AFY1" t="s">
        <v>934</v>
      </c>
      <c r="AFZ1" t="s">
        <v>935</v>
      </c>
      <c r="AGA1" t="s">
        <v>936</v>
      </c>
      <c r="AGB1" t="s">
        <v>937</v>
      </c>
      <c r="AGC1" t="s">
        <v>938</v>
      </c>
      <c r="AGD1" t="s">
        <v>939</v>
      </c>
      <c r="AGE1" t="s">
        <v>940</v>
      </c>
      <c r="AGF1" t="s">
        <v>941</v>
      </c>
      <c r="AGG1" t="s">
        <v>942</v>
      </c>
      <c r="AGH1" t="s">
        <v>943</v>
      </c>
      <c r="AGI1" t="s">
        <v>944</v>
      </c>
      <c r="AGJ1" t="s">
        <v>945</v>
      </c>
      <c r="AGK1" t="s">
        <v>946</v>
      </c>
      <c r="AGL1" t="s">
        <v>947</v>
      </c>
      <c r="AGM1" t="s">
        <v>948</v>
      </c>
      <c r="AGN1" t="s">
        <v>949</v>
      </c>
      <c r="AGO1" t="s">
        <v>950</v>
      </c>
      <c r="AGP1" t="s">
        <v>951</v>
      </c>
      <c r="AGQ1" t="s">
        <v>952</v>
      </c>
      <c r="AGR1" t="s">
        <v>953</v>
      </c>
      <c r="AGS1" t="s">
        <v>954</v>
      </c>
      <c r="AGT1" t="s">
        <v>955</v>
      </c>
      <c r="AGU1" t="s">
        <v>956</v>
      </c>
      <c r="AGV1" t="s">
        <v>957</v>
      </c>
      <c r="AGW1" t="s">
        <v>958</v>
      </c>
      <c r="AGX1" t="s">
        <v>959</v>
      </c>
      <c r="AGY1" t="s">
        <v>960</v>
      </c>
      <c r="AGZ1" t="s">
        <v>961</v>
      </c>
      <c r="AHA1" t="s">
        <v>962</v>
      </c>
      <c r="AHB1" t="s">
        <v>963</v>
      </c>
      <c r="AHC1" t="s">
        <v>964</v>
      </c>
      <c r="AHD1" t="s">
        <v>965</v>
      </c>
      <c r="AHE1" t="s">
        <v>966</v>
      </c>
      <c r="AHF1" t="s">
        <v>967</v>
      </c>
      <c r="AHG1" t="s">
        <v>968</v>
      </c>
      <c r="AHH1" t="s">
        <v>969</v>
      </c>
      <c r="AHI1" t="s">
        <v>970</v>
      </c>
      <c r="AHJ1" t="s">
        <v>971</v>
      </c>
      <c r="AHK1" t="s">
        <v>972</v>
      </c>
      <c r="AHL1" t="s">
        <v>973</v>
      </c>
      <c r="AHM1" t="s">
        <v>974</v>
      </c>
      <c r="AHN1" t="s">
        <v>975</v>
      </c>
      <c r="AHO1" t="s">
        <v>976</v>
      </c>
      <c r="AHP1" t="s">
        <v>977</v>
      </c>
      <c r="AHQ1" t="s">
        <v>978</v>
      </c>
      <c r="AHR1" t="s">
        <v>979</v>
      </c>
      <c r="AHS1" t="s">
        <v>980</v>
      </c>
      <c r="AHT1" t="s">
        <v>981</v>
      </c>
      <c r="AHU1" t="s">
        <v>982</v>
      </c>
      <c r="AHV1" t="s">
        <v>983</v>
      </c>
      <c r="AHW1" t="s">
        <v>984</v>
      </c>
      <c r="AHX1" t="s">
        <v>985</v>
      </c>
      <c r="AHY1" t="s">
        <v>986</v>
      </c>
      <c r="AHZ1" t="s">
        <v>987</v>
      </c>
      <c r="AIA1" t="s">
        <v>988</v>
      </c>
      <c r="AIB1" t="s">
        <v>989</v>
      </c>
      <c r="AIC1" t="s">
        <v>990</v>
      </c>
      <c r="AID1" t="s">
        <v>991</v>
      </c>
      <c r="AIE1" t="s">
        <v>992</v>
      </c>
      <c r="AIF1" t="s">
        <v>993</v>
      </c>
      <c r="AIG1" t="s">
        <v>994</v>
      </c>
      <c r="AIH1" t="s">
        <v>995</v>
      </c>
      <c r="AII1" t="s">
        <v>996</v>
      </c>
      <c r="AIJ1" t="s">
        <v>997</v>
      </c>
      <c r="AIK1" t="s">
        <v>998</v>
      </c>
      <c r="AIL1" t="s">
        <v>999</v>
      </c>
      <c r="AIM1" t="s">
        <v>1000</v>
      </c>
      <c r="AIN1" t="s">
        <v>1001</v>
      </c>
      <c r="AIO1" t="s">
        <v>1002</v>
      </c>
      <c r="AIP1" t="s">
        <v>1003</v>
      </c>
      <c r="AIQ1" t="s">
        <v>1004</v>
      </c>
      <c r="AIR1" t="s">
        <v>1005</v>
      </c>
      <c r="AIS1" t="s">
        <v>1006</v>
      </c>
      <c r="AIT1" t="s">
        <v>1007</v>
      </c>
      <c r="AIU1" t="s">
        <v>1008</v>
      </c>
      <c r="AIV1" t="s">
        <v>1009</v>
      </c>
      <c r="AIW1" t="s">
        <v>1010</v>
      </c>
      <c r="AIX1" t="s">
        <v>1011</v>
      </c>
      <c r="AIY1" t="s">
        <v>1012</v>
      </c>
      <c r="AIZ1" t="s">
        <v>1013</v>
      </c>
      <c r="AJA1" t="s">
        <v>1014</v>
      </c>
      <c r="AJB1" t="s">
        <v>1015</v>
      </c>
      <c r="AJC1" t="s">
        <v>1016</v>
      </c>
      <c r="AJD1" t="s">
        <v>1017</v>
      </c>
      <c r="AJE1" t="s">
        <v>1018</v>
      </c>
      <c r="AJF1" t="s">
        <v>1019</v>
      </c>
      <c r="AJG1" t="s">
        <v>1020</v>
      </c>
      <c r="AJH1" t="s">
        <v>1021</v>
      </c>
      <c r="AJI1" t="s">
        <v>1022</v>
      </c>
      <c r="AJJ1" t="s">
        <v>1023</v>
      </c>
      <c r="AJK1" t="s">
        <v>1024</v>
      </c>
      <c r="AJL1" t="s">
        <v>1025</v>
      </c>
      <c r="AJM1" t="s">
        <v>1026</v>
      </c>
      <c r="AJN1" t="s">
        <v>1027</v>
      </c>
      <c r="AJO1" t="s">
        <v>1028</v>
      </c>
      <c r="AJP1" t="s">
        <v>1029</v>
      </c>
      <c r="AJQ1" t="s">
        <v>1030</v>
      </c>
      <c r="AJR1" t="s">
        <v>1031</v>
      </c>
      <c r="AJS1" t="s">
        <v>1032</v>
      </c>
      <c r="AJT1" t="s">
        <v>1033</v>
      </c>
      <c r="AJU1" t="s">
        <v>1034</v>
      </c>
      <c r="AJV1" t="s">
        <v>1035</v>
      </c>
      <c r="AJW1" t="s">
        <v>1036</v>
      </c>
      <c r="AJX1" t="s">
        <v>1037</v>
      </c>
      <c r="AJY1" t="s">
        <v>1038</v>
      </c>
      <c r="AJZ1" t="s">
        <v>1039</v>
      </c>
      <c r="AKA1" t="s">
        <v>1040</v>
      </c>
      <c r="AKB1" t="s">
        <v>1041</v>
      </c>
      <c r="AKC1" t="s">
        <v>1042</v>
      </c>
      <c r="AKD1" t="s">
        <v>1043</v>
      </c>
      <c r="AKE1" t="s">
        <v>1044</v>
      </c>
      <c r="AKF1" t="s">
        <v>1045</v>
      </c>
      <c r="AKG1" t="s">
        <v>1046</v>
      </c>
      <c r="AKH1" t="s">
        <v>1047</v>
      </c>
      <c r="AKI1" t="s">
        <v>1048</v>
      </c>
      <c r="AKJ1" t="s">
        <v>1049</v>
      </c>
      <c r="AKK1" t="s">
        <v>1050</v>
      </c>
      <c r="AKL1" t="s">
        <v>1051</v>
      </c>
      <c r="AKM1" t="s">
        <v>1052</v>
      </c>
      <c r="AKN1" t="s">
        <v>1053</v>
      </c>
      <c r="AKO1" t="s">
        <v>1054</v>
      </c>
      <c r="AKP1" t="s">
        <v>1055</v>
      </c>
      <c r="AKQ1" t="s">
        <v>1056</v>
      </c>
      <c r="AKR1" t="s">
        <v>1057</v>
      </c>
      <c r="AKS1" t="s">
        <v>1058</v>
      </c>
      <c r="AKT1" t="s">
        <v>1059</v>
      </c>
      <c r="AKU1" t="s">
        <v>1060</v>
      </c>
      <c r="AKV1" t="s">
        <v>1061</v>
      </c>
      <c r="AKW1" t="s">
        <v>1062</v>
      </c>
      <c r="AKX1" t="s">
        <v>1063</v>
      </c>
      <c r="AKY1" t="s">
        <v>1064</v>
      </c>
      <c r="AKZ1" t="s">
        <v>1065</v>
      </c>
      <c r="ALA1" t="s">
        <v>1066</v>
      </c>
      <c r="ALB1" t="s">
        <v>1067</v>
      </c>
      <c r="ALC1" t="s">
        <v>1068</v>
      </c>
      <c r="ALD1" t="s">
        <v>1069</v>
      </c>
      <c r="ALE1" t="s">
        <v>1070</v>
      </c>
      <c r="ALF1" t="s">
        <v>1071</v>
      </c>
      <c r="ALG1" t="s">
        <v>1072</v>
      </c>
      <c r="ALH1" t="s">
        <v>1073</v>
      </c>
      <c r="ALI1" t="s">
        <v>1074</v>
      </c>
      <c r="ALJ1" t="s">
        <v>1075</v>
      </c>
      <c r="ALK1" t="s">
        <v>1076</v>
      </c>
      <c r="ALL1" t="s">
        <v>1077</v>
      </c>
      <c r="ALM1" t="s">
        <v>1078</v>
      </c>
      <c r="ALN1" t="s">
        <v>1079</v>
      </c>
      <c r="ALO1" t="s">
        <v>1080</v>
      </c>
      <c r="ALP1" t="s">
        <v>1081</v>
      </c>
      <c r="ALQ1" t="s">
        <v>1082</v>
      </c>
      <c r="ALR1" t="s">
        <v>1083</v>
      </c>
      <c r="ALS1" t="s">
        <v>1084</v>
      </c>
      <c r="ALT1" t="s">
        <v>1085</v>
      </c>
      <c r="ALU1" t="s">
        <v>1086</v>
      </c>
      <c r="ALV1" t="s">
        <v>1087</v>
      </c>
      <c r="ALW1" t="s">
        <v>1088</v>
      </c>
      <c r="ALX1" t="s">
        <v>1089</v>
      </c>
      <c r="ALY1" t="s">
        <v>1090</v>
      </c>
      <c r="ALZ1" t="s">
        <v>1091</v>
      </c>
      <c r="AMA1" t="s">
        <v>1092</v>
      </c>
      <c r="AMB1" t="s">
        <v>1093</v>
      </c>
      <c r="AMC1" t="s">
        <v>1094</v>
      </c>
      <c r="AMD1" t="s">
        <v>1095</v>
      </c>
      <c r="AME1" t="s">
        <v>1096</v>
      </c>
      <c r="AMF1" t="s">
        <v>1097</v>
      </c>
      <c r="AMG1" t="s">
        <v>1098</v>
      </c>
      <c r="AMH1" t="s">
        <v>1099</v>
      </c>
      <c r="AMI1" t="s">
        <v>1100</v>
      </c>
      <c r="AMJ1" t="s">
        <v>1101</v>
      </c>
      <c r="AMK1" t="s">
        <v>1102</v>
      </c>
      <c r="AML1" t="s">
        <v>1103</v>
      </c>
      <c r="AMM1" t="s">
        <v>1104</v>
      </c>
      <c r="AMN1" t="s">
        <v>1105</v>
      </c>
      <c r="AMO1" t="s">
        <v>1106</v>
      </c>
      <c r="AMP1" t="s">
        <v>1107</v>
      </c>
      <c r="AMQ1" t="s">
        <v>1108</v>
      </c>
      <c r="AMR1" t="s">
        <v>1109</v>
      </c>
      <c r="AMS1" t="s">
        <v>1110</v>
      </c>
      <c r="AMT1" t="s">
        <v>1111</v>
      </c>
      <c r="AMU1" t="s">
        <v>1112</v>
      </c>
      <c r="AMV1" t="s">
        <v>1113</v>
      </c>
      <c r="AMW1" t="s">
        <v>1114</v>
      </c>
      <c r="AMX1" t="s">
        <v>1115</v>
      </c>
      <c r="AMY1" t="s">
        <v>1116</v>
      </c>
      <c r="AMZ1" t="s">
        <v>1117</v>
      </c>
      <c r="ANA1" t="s">
        <v>1118</v>
      </c>
      <c r="ANB1" t="s">
        <v>1119</v>
      </c>
      <c r="ANC1" t="s">
        <v>1120</v>
      </c>
      <c r="AND1" t="s">
        <v>1121</v>
      </c>
      <c r="ANE1" t="s">
        <v>1122</v>
      </c>
      <c r="ANF1" t="s">
        <v>1123</v>
      </c>
      <c r="ANG1" t="s">
        <v>1124</v>
      </c>
      <c r="ANH1" t="s">
        <v>1125</v>
      </c>
      <c r="ANI1" t="s">
        <v>1126</v>
      </c>
      <c r="ANJ1" t="s">
        <v>1127</v>
      </c>
      <c r="ANK1" t="s">
        <v>1128</v>
      </c>
      <c r="ANL1" t="s">
        <v>1129</v>
      </c>
      <c r="ANM1" t="s">
        <v>1130</v>
      </c>
      <c r="ANN1" t="s">
        <v>1131</v>
      </c>
      <c r="ANO1" t="s">
        <v>1132</v>
      </c>
      <c r="ANP1" t="s">
        <v>1133</v>
      </c>
      <c r="ANQ1" t="s">
        <v>1134</v>
      </c>
      <c r="ANR1" t="s">
        <v>1135</v>
      </c>
      <c r="ANS1" t="s">
        <v>1136</v>
      </c>
      <c r="ANT1" t="s">
        <v>1137</v>
      </c>
      <c r="ANU1" t="s">
        <v>1138</v>
      </c>
      <c r="ANV1" t="s">
        <v>1139</v>
      </c>
      <c r="ANW1" t="s">
        <v>1140</v>
      </c>
      <c r="ANX1" t="s">
        <v>1141</v>
      </c>
      <c r="ANY1" t="s">
        <v>1142</v>
      </c>
      <c r="ANZ1" t="s">
        <v>1143</v>
      </c>
      <c r="AOA1" t="s">
        <v>1144</v>
      </c>
      <c r="AOB1" t="s">
        <v>1145</v>
      </c>
      <c r="AOC1" t="s">
        <v>1146</v>
      </c>
      <c r="AOD1" t="s">
        <v>1147</v>
      </c>
      <c r="AOE1" t="s">
        <v>1148</v>
      </c>
      <c r="AOF1" t="s">
        <v>1149</v>
      </c>
      <c r="AOG1" t="s">
        <v>1150</v>
      </c>
      <c r="AOH1" t="s">
        <v>1151</v>
      </c>
      <c r="AOI1" t="s">
        <v>1152</v>
      </c>
      <c r="AOJ1" t="s">
        <v>1153</v>
      </c>
      <c r="AOK1" t="s">
        <v>1154</v>
      </c>
      <c r="AOL1" t="s">
        <v>1155</v>
      </c>
      <c r="AOM1" t="s">
        <v>1156</v>
      </c>
      <c r="AON1" t="s">
        <v>1157</v>
      </c>
      <c r="AOO1" t="s">
        <v>1158</v>
      </c>
      <c r="AOP1" t="s">
        <v>1159</v>
      </c>
      <c r="AOQ1" t="s">
        <v>1160</v>
      </c>
      <c r="AOR1" t="s">
        <v>1161</v>
      </c>
      <c r="AOS1" t="s">
        <v>1162</v>
      </c>
      <c r="AOT1" t="s">
        <v>1163</v>
      </c>
      <c r="AOU1" t="s">
        <v>1164</v>
      </c>
      <c r="AOV1" t="s">
        <v>1165</v>
      </c>
      <c r="AOW1" t="s">
        <v>1166</v>
      </c>
      <c r="AOX1" t="s">
        <v>1167</v>
      </c>
      <c r="AOY1" t="s">
        <v>1168</v>
      </c>
      <c r="AOZ1" t="s">
        <v>1169</v>
      </c>
      <c r="APA1" t="s">
        <v>1170</v>
      </c>
      <c r="APB1" t="s">
        <v>1171</v>
      </c>
      <c r="APC1" t="s">
        <v>1172</v>
      </c>
      <c r="APD1" t="s">
        <v>1173</v>
      </c>
      <c r="APE1" t="s">
        <v>1174</v>
      </c>
      <c r="APF1" t="s">
        <v>1175</v>
      </c>
      <c r="APG1" t="s">
        <v>1176</v>
      </c>
      <c r="APH1" t="s">
        <v>1177</v>
      </c>
      <c r="API1" t="s">
        <v>1178</v>
      </c>
      <c r="APJ1" t="s">
        <v>1179</v>
      </c>
      <c r="APK1" t="s">
        <v>1180</v>
      </c>
      <c r="APL1" t="s">
        <v>1181</v>
      </c>
      <c r="APM1" t="s">
        <v>1182</v>
      </c>
      <c r="APN1" t="s">
        <v>1183</v>
      </c>
      <c r="APO1" t="s">
        <v>1184</v>
      </c>
      <c r="APP1" t="s">
        <v>1185</v>
      </c>
      <c r="APQ1" t="s">
        <v>1186</v>
      </c>
      <c r="APR1" t="s">
        <v>1187</v>
      </c>
      <c r="APS1" t="s">
        <v>1188</v>
      </c>
      <c r="APT1" t="s">
        <v>1189</v>
      </c>
      <c r="APU1" t="s">
        <v>1190</v>
      </c>
      <c r="APV1" t="s">
        <v>1191</v>
      </c>
      <c r="APW1" t="s">
        <v>1192</v>
      </c>
      <c r="APX1" t="s">
        <v>1193</v>
      </c>
      <c r="APY1" t="s">
        <v>1194</v>
      </c>
      <c r="APZ1" t="s">
        <v>1195</v>
      </c>
      <c r="AQA1" t="s">
        <v>1196</v>
      </c>
      <c r="AQB1" t="s">
        <v>1197</v>
      </c>
      <c r="AQC1" t="s">
        <v>1198</v>
      </c>
      <c r="AQD1" t="s">
        <v>1199</v>
      </c>
      <c r="AQE1" t="s">
        <v>1200</v>
      </c>
      <c r="AQF1" t="s">
        <v>1201</v>
      </c>
      <c r="AQG1" t="s">
        <v>1202</v>
      </c>
      <c r="AQH1" t="s">
        <v>1203</v>
      </c>
      <c r="AQI1" t="s">
        <v>1204</v>
      </c>
      <c r="AQJ1" t="s">
        <v>1205</v>
      </c>
      <c r="AQK1" t="s">
        <v>1206</v>
      </c>
      <c r="AQL1" t="s">
        <v>1207</v>
      </c>
      <c r="AQM1" t="s">
        <v>1208</v>
      </c>
      <c r="AQN1" t="s">
        <v>1209</v>
      </c>
      <c r="AQO1" t="s">
        <v>1210</v>
      </c>
      <c r="AQP1" t="s">
        <v>1211</v>
      </c>
      <c r="AQQ1" t="s">
        <v>1212</v>
      </c>
      <c r="AQR1" t="s">
        <v>1213</v>
      </c>
      <c r="AQS1" t="s">
        <v>1214</v>
      </c>
      <c r="AQT1" t="s">
        <v>1215</v>
      </c>
      <c r="AQU1" t="s">
        <v>1216</v>
      </c>
      <c r="AQV1" t="s">
        <v>1217</v>
      </c>
      <c r="AQW1" t="s">
        <v>1218</v>
      </c>
      <c r="AQX1" t="s">
        <v>1219</v>
      </c>
      <c r="AQY1" t="s">
        <v>1220</v>
      </c>
      <c r="AQZ1" t="s">
        <v>1221</v>
      </c>
      <c r="ARA1" t="s">
        <v>1222</v>
      </c>
      <c r="ARB1" t="s">
        <v>1223</v>
      </c>
      <c r="ARC1" t="s">
        <v>1224</v>
      </c>
      <c r="ARD1" t="s">
        <v>1225</v>
      </c>
      <c r="ARE1" t="s">
        <v>1226</v>
      </c>
      <c r="ARF1" t="s">
        <v>1227</v>
      </c>
      <c r="ARG1" t="s">
        <v>1228</v>
      </c>
      <c r="ARH1" t="s">
        <v>1229</v>
      </c>
      <c r="ARI1" t="s">
        <v>1230</v>
      </c>
      <c r="ARJ1" t="s">
        <v>1231</v>
      </c>
      <c r="ARK1" t="s">
        <v>1232</v>
      </c>
      <c r="ARL1" t="s">
        <v>1233</v>
      </c>
      <c r="ARM1" t="s">
        <v>1234</v>
      </c>
      <c r="ARN1" t="s">
        <v>1235</v>
      </c>
      <c r="ARO1" t="s">
        <v>1236</v>
      </c>
      <c r="ARP1" t="s">
        <v>1237</v>
      </c>
      <c r="ARQ1" t="s">
        <v>1238</v>
      </c>
      <c r="ARR1" t="s">
        <v>1239</v>
      </c>
      <c r="ARS1" t="s">
        <v>1240</v>
      </c>
      <c r="ART1" t="s">
        <v>1241</v>
      </c>
      <c r="ARU1" t="s">
        <v>1242</v>
      </c>
      <c r="ARV1" t="s">
        <v>1243</v>
      </c>
      <c r="ARW1" t="s">
        <v>1244</v>
      </c>
      <c r="ARX1" t="s">
        <v>1245</v>
      </c>
      <c r="ARY1" t="s">
        <v>1246</v>
      </c>
      <c r="ARZ1" t="s">
        <v>1247</v>
      </c>
      <c r="ASA1" t="s">
        <v>1248</v>
      </c>
      <c r="ASB1" t="s">
        <v>1249</v>
      </c>
      <c r="ASC1" t="s">
        <v>1250</v>
      </c>
      <c r="ASD1" t="s">
        <v>1251</v>
      </c>
      <c r="ASE1" t="s">
        <v>1252</v>
      </c>
      <c r="ASF1" t="s">
        <v>1253</v>
      </c>
      <c r="ASG1" t="s">
        <v>1254</v>
      </c>
      <c r="ASH1" t="s">
        <v>1255</v>
      </c>
      <c r="ASI1" t="s">
        <v>1256</v>
      </c>
      <c r="ASJ1" t="s">
        <v>1257</v>
      </c>
      <c r="ASK1" t="s">
        <v>1258</v>
      </c>
      <c r="ASL1" t="s">
        <v>1259</v>
      </c>
      <c r="ASM1" t="s">
        <v>1260</v>
      </c>
      <c r="ASN1" t="s">
        <v>1261</v>
      </c>
      <c r="ASO1" t="s">
        <v>1262</v>
      </c>
      <c r="ASP1" t="s">
        <v>1263</v>
      </c>
      <c r="ASQ1" t="s">
        <v>1264</v>
      </c>
      <c r="ASR1" t="s">
        <v>1265</v>
      </c>
      <c r="ASS1" t="s">
        <v>1266</v>
      </c>
      <c r="AST1" t="s">
        <v>1267</v>
      </c>
      <c r="ASU1" t="s">
        <v>1268</v>
      </c>
      <c r="ASV1" t="s">
        <v>1269</v>
      </c>
      <c r="ASW1" t="s">
        <v>1270</v>
      </c>
      <c r="ASX1" t="s">
        <v>1271</v>
      </c>
      <c r="ASY1" t="s">
        <v>1272</v>
      </c>
      <c r="ASZ1" t="s">
        <v>1273</v>
      </c>
      <c r="ATA1" t="s">
        <v>1274</v>
      </c>
      <c r="ATB1" t="s">
        <v>1275</v>
      </c>
      <c r="ATC1" t="s">
        <v>1276</v>
      </c>
      <c r="ATD1" t="s">
        <v>1277</v>
      </c>
      <c r="ATE1" t="s">
        <v>1278</v>
      </c>
      <c r="ATF1" t="s">
        <v>1279</v>
      </c>
      <c r="ATG1" t="s">
        <v>1280</v>
      </c>
      <c r="ATH1" t="s">
        <v>1281</v>
      </c>
      <c r="ATI1" t="s">
        <v>1282</v>
      </c>
      <c r="ATJ1" t="s">
        <v>1283</v>
      </c>
      <c r="ATK1" t="s">
        <v>1284</v>
      </c>
      <c r="ATL1" t="s">
        <v>1285</v>
      </c>
      <c r="ATM1" t="s">
        <v>1286</v>
      </c>
      <c r="ATN1" t="s">
        <v>1287</v>
      </c>
      <c r="ATO1" t="s">
        <v>1288</v>
      </c>
      <c r="ATP1" t="s">
        <v>1289</v>
      </c>
      <c r="ATQ1" t="s">
        <v>1290</v>
      </c>
      <c r="ATR1" t="s">
        <v>1291</v>
      </c>
      <c r="ATS1" t="s">
        <v>1292</v>
      </c>
      <c r="ATT1" t="s">
        <v>1293</v>
      </c>
      <c r="ATU1" t="s">
        <v>1294</v>
      </c>
      <c r="ATV1" t="s">
        <v>1295</v>
      </c>
      <c r="ATW1" t="s">
        <v>1296</v>
      </c>
      <c r="ATX1" t="s">
        <v>1297</v>
      </c>
      <c r="ATY1" t="s">
        <v>1298</v>
      </c>
      <c r="ATZ1" t="s">
        <v>1299</v>
      </c>
      <c r="AUA1" t="s">
        <v>1300</v>
      </c>
      <c r="AUB1" t="s">
        <v>1301</v>
      </c>
      <c r="AUC1" t="s">
        <v>1302</v>
      </c>
      <c r="AUD1" t="s">
        <v>1303</v>
      </c>
      <c r="AUE1" t="s">
        <v>1304</v>
      </c>
      <c r="AUF1" t="s">
        <v>1305</v>
      </c>
      <c r="AUG1" t="s">
        <v>1306</v>
      </c>
      <c r="AUH1" t="s">
        <v>1307</v>
      </c>
      <c r="AUI1" t="s">
        <v>1308</v>
      </c>
      <c r="AUJ1" t="s">
        <v>1309</v>
      </c>
      <c r="AUK1" t="s">
        <v>1310</v>
      </c>
      <c r="AUL1" t="s">
        <v>1311</v>
      </c>
      <c r="AUM1" t="s">
        <v>1312</v>
      </c>
      <c r="AUN1" t="s">
        <v>1313</v>
      </c>
      <c r="AUO1" t="s">
        <v>1314</v>
      </c>
      <c r="AUP1" t="s">
        <v>1315</v>
      </c>
      <c r="AUQ1" t="s">
        <v>1316</v>
      </c>
      <c r="AUR1" t="s">
        <v>1317</v>
      </c>
      <c r="AUS1" t="s">
        <v>1318</v>
      </c>
      <c r="AUT1" t="s">
        <v>1319</v>
      </c>
      <c r="AUU1" t="s">
        <v>1320</v>
      </c>
      <c r="AUV1" t="s">
        <v>1321</v>
      </c>
      <c r="AUW1" t="s">
        <v>1322</v>
      </c>
      <c r="AUX1" t="s">
        <v>1323</v>
      </c>
      <c r="AUY1" t="s">
        <v>1324</v>
      </c>
      <c r="AUZ1" t="s">
        <v>1325</v>
      </c>
      <c r="AVA1" t="s">
        <v>1326</v>
      </c>
      <c r="AVB1" t="s">
        <v>1327</v>
      </c>
      <c r="AVC1" t="s">
        <v>1328</v>
      </c>
      <c r="AVD1" t="s">
        <v>1329</v>
      </c>
      <c r="AVE1" t="s">
        <v>1330</v>
      </c>
      <c r="AVF1" t="s">
        <v>1331</v>
      </c>
      <c r="AVG1" t="s">
        <v>1332</v>
      </c>
      <c r="AVH1" t="s">
        <v>1333</v>
      </c>
      <c r="AVI1" t="s">
        <v>1334</v>
      </c>
      <c r="AVJ1" t="s">
        <v>1335</v>
      </c>
      <c r="AVK1" t="s">
        <v>1336</v>
      </c>
      <c r="AVL1" t="s">
        <v>1337</v>
      </c>
      <c r="AVM1" t="s">
        <v>1338</v>
      </c>
      <c r="AVN1" t="s">
        <v>1339</v>
      </c>
      <c r="AVO1" t="s">
        <v>1340</v>
      </c>
      <c r="AVP1" t="s">
        <v>1341</v>
      </c>
      <c r="AVQ1" t="s">
        <v>1342</v>
      </c>
      <c r="AVR1" t="s">
        <v>1343</v>
      </c>
      <c r="AVS1" t="s">
        <v>1344</v>
      </c>
      <c r="AVT1" t="s">
        <v>1345</v>
      </c>
      <c r="AVU1" t="s">
        <v>1346</v>
      </c>
      <c r="AVV1" t="s">
        <v>1347</v>
      </c>
      <c r="AVW1" t="s">
        <v>1348</v>
      </c>
      <c r="AVX1" t="s">
        <v>1349</v>
      </c>
      <c r="AVY1" t="s">
        <v>1350</v>
      </c>
      <c r="AVZ1" t="s">
        <v>1351</v>
      </c>
      <c r="AWA1" t="s">
        <v>1352</v>
      </c>
      <c r="AWB1" t="s">
        <v>1353</v>
      </c>
      <c r="AWC1" t="s">
        <v>1354</v>
      </c>
      <c r="AWD1" t="s">
        <v>1355</v>
      </c>
      <c r="AWE1" t="s">
        <v>1356</v>
      </c>
      <c r="AWF1" t="s">
        <v>1357</v>
      </c>
      <c r="AWG1" t="s">
        <v>1358</v>
      </c>
      <c r="AWH1" t="s">
        <v>1359</v>
      </c>
      <c r="AWI1" t="s">
        <v>1360</v>
      </c>
      <c r="AWJ1" t="s">
        <v>1361</v>
      </c>
      <c r="AWK1" t="s">
        <v>1362</v>
      </c>
      <c r="AWL1" t="s">
        <v>1363</v>
      </c>
      <c r="AWM1" t="s">
        <v>1364</v>
      </c>
      <c r="AWN1" t="s">
        <v>1365</v>
      </c>
      <c r="AWO1" t="s">
        <v>1366</v>
      </c>
      <c r="AWP1" t="s">
        <v>1367</v>
      </c>
      <c r="AWQ1" t="s">
        <v>1368</v>
      </c>
      <c r="AWR1" t="s">
        <v>1369</v>
      </c>
      <c r="AWS1" t="s">
        <v>1370</v>
      </c>
      <c r="AWT1" t="s">
        <v>1371</v>
      </c>
      <c r="AWU1" t="s">
        <v>1372</v>
      </c>
      <c r="AWV1" t="s">
        <v>1373</v>
      </c>
      <c r="AWW1" t="s">
        <v>1374</v>
      </c>
      <c r="AWX1" t="s">
        <v>1375</v>
      </c>
      <c r="AWY1" t="s">
        <v>1376</v>
      </c>
      <c r="AWZ1" t="s">
        <v>1377</v>
      </c>
      <c r="AXA1" t="s">
        <v>1378</v>
      </c>
      <c r="AXB1" t="s">
        <v>1379</v>
      </c>
      <c r="AXC1" t="s">
        <v>1380</v>
      </c>
      <c r="AXD1" t="s">
        <v>1381</v>
      </c>
      <c r="AXE1" t="s">
        <v>1382</v>
      </c>
      <c r="AXF1" t="s">
        <v>1383</v>
      </c>
      <c r="AXG1" t="s">
        <v>1384</v>
      </c>
      <c r="AXH1" t="s">
        <v>1385</v>
      </c>
      <c r="AXI1" t="s">
        <v>1386</v>
      </c>
      <c r="AXJ1" t="s">
        <v>1387</v>
      </c>
      <c r="AXK1" t="s">
        <v>1388</v>
      </c>
      <c r="AXL1" t="s">
        <v>1389</v>
      </c>
      <c r="AXM1" t="s">
        <v>1390</v>
      </c>
      <c r="AXN1" t="s">
        <v>1391</v>
      </c>
      <c r="AXO1" t="s">
        <v>1392</v>
      </c>
      <c r="AXP1" t="s">
        <v>1393</v>
      </c>
      <c r="AXQ1" t="s">
        <v>1394</v>
      </c>
      <c r="AXR1" t="s">
        <v>1395</v>
      </c>
      <c r="AXS1" t="s">
        <v>1396</v>
      </c>
      <c r="AXT1" t="s">
        <v>1425</v>
      </c>
      <c r="AXU1" t="s">
        <v>1397</v>
      </c>
      <c r="AXV1" t="s">
        <v>1398</v>
      </c>
      <c r="AXW1" t="s">
        <v>1399</v>
      </c>
      <c r="AXX1" t="s">
        <v>1400</v>
      </c>
      <c r="AXY1" t="s">
        <v>1426</v>
      </c>
      <c r="AXZ1" t="s">
        <v>1401</v>
      </c>
      <c r="AYA1" t="s">
        <v>1402</v>
      </c>
      <c r="AYB1" t="s">
        <v>1403</v>
      </c>
      <c r="AYC1" t="s">
        <v>1404</v>
      </c>
      <c r="AYD1" t="s">
        <v>1427</v>
      </c>
      <c r="AYE1" t="s">
        <v>1405</v>
      </c>
      <c r="AYF1" t="s">
        <v>1406</v>
      </c>
      <c r="AYG1" t="s">
        <v>1407</v>
      </c>
      <c r="AYH1" t="s">
        <v>1408</v>
      </c>
      <c r="AYI1" t="s">
        <v>1428</v>
      </c>
      <c r="AYJ1" t="s">
        <v>1409</v>
      </c>
      <c r="AYK1" t="s">
        <v>1410</v>
      </c>
      <c r="AYL1" t="s">
        <v>1411</v>
      </c>
      <c r="AYM1" t="s">
        <v>1412</v>
      </c>
      <c r="AYN1" t="s">
        <v>1429</v>
      </c>
      <c r="AYO1" t="s">
        <v>1413</v>
      </c>
      <c r="AYP1" t="s">
        <v>1414</v>
      </c>
      <c r="AYQ1" t="s">
        <v>1415</v>
      </c>
      <c r="AYR1" t="s">
        <v>1416</v>
      </c>
      <c r="AYS1" t="s">
        <v>1430</v>
      </c>
      <c r="AYT1" t="s">
        <v>1417</v>
      </c>
      <c r="AYU1" t="s">
        <v>1418</v>
      </c>
      <c r="AYV1" t="s">
        <v>1419</v>
      </c>
      <c r="AYW1" t="s">
        <v>1420</v>
      </c>
      <c r="AYX1" t="s">
        <v>1431</v>
      </c>
      <c r="AYY1" t="s">
        <v>1421</v>
      </c>
      <c r="AYZ1" t="s">
        <v>1422</v>
      </c>
      <c r="AZA1" t="s">
        <v>1423</v>
      </c>
      <c r="AZB1" t="s">
        <v>1424</v>
      </c>
    </row>
    <row r="2" spans="1:1354" x14ac:dyDescent="0.25">
      <c r="A2">
        <v>20190812</v>
      </c>
      <c r="B2" t="s">
        <v>86</v>
      </c>
      <c r="C2">
        <v>8</v>
      </c>
      <c r="D2">
        <v>2019</v>
      </c>
      <c r="E2" t="s">
        <v>87</v>
      </c>
      <c r="F2" t="s">
        <v>88</v>
      </c>
      <c r="G2" t="s">
        <v>48</v>
      </c>
      <c r="H2" t="s">
        <v>104</v>
      </c>
      <c r="I2">
        <v>2</v>
      </c>
      <c r="J2">
        <v>33</v>
      </c>
      <c r="K2">
        <v>12</v>
      </c>
      <c r="L2">
        <v>224</v>
      </c>
      <c r="M2" t="s">
        <v>86</v>
      </c>
      <c r="N2" t="s">
        <v>86</v>
      </c>
      <c r="O2">
        <v>2019</v>
      </c>
      <c r="P2">
        <v>20180812</v>
      </c>
      <c r="Q2">
        <v>2018</v>
      </c>
      <c r="R2" t="s">
        <v>86</v>
      </c>
      <c r="S2">
        <v>1</v>
      </c>
      <c r="T2">
        <v>1</v>
      </c>
      <c r="U2">
        <v>201933</v>
      </c>
      <c r="V2">
        <v>201932</v>
      </c>
      <c r="W2">
        <v>201833</v>
      </c>
      <c r="X2">
        <v>201908</v>
      </c>
      <c r="Y2">
        <v>201808</v>
      </c>
      <c r="Z2">
        <v>2019</v>
      </c>
      <c r="AA2">
        <v>2018</v>
      </c>
      <c r="AB2">
        <v>7192</v>
      </c>
      <c r="AC2">
        <v>30443766.100000098</v>
      </c>
      <c r="AD2">
        <v>47390</v>
      </c>
      <c r="AE2">
        <v>853</v>
      </c>
      <c r="AF2">
        <v>5504</v>
      </c>
      <c r="AG2">
        <v>27</v>
      </c>
      <c r="AH2">
        <v>41651</v>
      </c>
      <c r="AI2">
        <v>23976</v>
      </c>
      <c r="AJ2">
        <v>10496</v>
      </c>
      <c r="AK2">
        <v>5820</v>
      </c>
      <c r="AL2">
        <v>6787</v>
      </c>
      <c r="AM2">
        <v>30310857.6300001</v>
      </c>
      <c r="AN2">
        <v>5802</v>
      </c>
      <c r="AO2">
        <v>985</v>
      </c>
      <c r="AP2">
        <v>26552744.84</v>
      </c>
      <c r="AQ2">
        <v>3758112.79</v>
      </c>
      <c r="AR2">
        <v>3226</v>
      </c>
      <c r="AS2">
        <v>3224</v>
      </c>
      <c r="AT2">
        <v>702</v>
      </c>
      <c r="AU2">
        <v>42</v>
      </c>
      <c r="AV2">
        <v>885</v>
      </c>
      <c r="AW2">
        <v>680</v>
      </c>
      <c r="AX2">
        <v>722</v>
      </c>
      <c r="AY2">
        <v>314</v>
      </c>
      <c r="AZ2">
        <v>2986</v>
      </c>
      <c r="BA2">
        <v>1136</v>
      </c>
      <c r="BB2">
        <v>64</v>
      </c>
      <c r="BC2">
        <v>3425</v>
      </c>
      <c r="BD2">
        <v>591</v>
      </c>
      <c r="BE2">
        <v>401</v>
      </c>
      <c r="BF2">
        <v>833</v>
      </c>
      <c r="BG2">
        <v>1106</v>
      </c>
      <c r="BH2">
        <v>217</v>
      </c>
      <c r="BI2">
        <v>431</v>
      </c>
      <c r="BJ2">
        <v>859</v>
      </c>
      <c r="BK2">
        <v>1478</v>
      </c>
      <c r="BL2">
        <v>1227</v>
      </c>
      <c r="BM2">
        <v>1511</v>
      </c>
      <c r="BN2">
        <v>1359</v>
      </c>
      <c r="BO2">
        <v>280</v>
      </c>
      <c r="BP2">
        <v>14996249.380000001</v>
      </c>
      <c r="BQ2">
        <v>13873254.26</v>
      </c>
      <c r="BR2">
        <v>1334656.98</v>
      </c>
      <c r="BS2">
        <v>269231.48</v>
      </c>
      <c r="BT2">
        <v>4475684.0199999996</v>
      </c>
      <c r="BU2">
        <v>4201963.83</v>
      </c>
      <c r="BV2">
        <v>4780200.04</v>
      </c>
      <c r="BW2">
        <v>914556.74</v>
      </c>
      <c r="BX2">
        <v>9574068.8100000098</v>
      </c>
      <c r="BY2">
        <v>6234631.7599999998</v>
      </c>
      <c r="BZ2">
        <v>129752.43</v>
      </c>
      <c r="CA2">
        <v>15668602.77</v>
      </c>
      <c r="CB2">
        <v>2377042.21</v>
      </c>
      <c r="CC2">
        <v>1373856.01</v>
      </c>
      <c r="CD2">
        <v>4435937.6399999997</v>
      </c>
      <c r="CE2">
        <v>4366584.5999999996</v>
      </c>
      <c r="CF2">
        <v>1154084.72</v>
      </c>
      <c r="CG2">
        <v>2088834.4</v>
      </c>
      <c r="CH2">
        <v>2534725.09</v>
      </c>
      <c r="CI2">
        <v>5859711.4199999999</v>
      </c>
      <c r="CJ2">
        <v>7473891.1799999997</v>
      </c>
      <c r="CK2">
        <v>8661513.4800000004</v>
      </c>
      <c r="CL2">
        <v>4963610.0999999996</v>
      </c>
      <c r="CM2">
        <v>666757.82999999996</v>
      </c>
      <c r="CN2">
        <v>6038</v>
      </c>
      <c r="CO2">
        <v>24718005.25</v>
      </c>
      <c r="CP2">
        <v>47390</v>
      </c>
      <c r="CQ2">
        <v>853</v>
      </c>
      <c r="CR2">
        <v>4785</v>
      </c>
      <c r="CS2">
        <v>27</v>
      </c>
      <c r="CT2">
        <v>41651</v>
      </c>
      <c r="CU2">
        <v>20143</v>
      </c>
      <c r="CV2">
        <v>8733</v>
      </c>
      <c r="CW2">
        <v>4731</v>
      </c>
      <c r="CX2">
        <v>5633</v>
      </c>
      <c r="CY2">
        <v>24585096.780000001</v>
      </c>
      <c r="CZ2">
        <v>4756</v>
      </c>
      <c r="DA2">
        <v>877</v>
      </c>
      <c r="DB2">
        <v>21285911.82</v>
      </c>
      <c r="DC2">
        <v>3299184.96</v>
      </c>
      <c r="DD2">
        <v>2453</v>
      </c>
      <c r="DE2">
        <v>2877</v>
      </c>
      <c r="DF2">
        <v>671</v>
      </c>
      <c r="DG2">
        <v>38</v>
      </c>
      <c r="DH2">
        <v>777</v>
      </c>
      <c r="DI2">
        <v>574</v>
      </c>
      <c r="DJ2">
        <v>650</v>
      </c>
      <c r="DK2">
        <v>284</v>
      </c>
      <c r="DL2">
        <v>2362</v>
      </c>
      <c r="DM2">
        <v>933</v>
      </c>
      <c r="DN2">
        <v>53</v>
      </c>
      <c r="DO2">
        <v>2842</v>
      </c>
      <c r="DP2">
        <v>514</v>
      </c>
      <c r="DQ2">
        <v>347</v>
      </c>
      <c r="DR2">
        <v>718</v>
      </c>
      <c r="DS2">
        <v>825</v>
      </c>
      <c r="DT2">
        <v>173</v>
      </c>
      <c r="DU2">
        <v>387</v>
      </c>
      <c r="DV2">
        <v>654</v>
      </c>
      <c r="DW2">
        <v>1113</v>
      </c>
      <c r="DX2">
        <v>1067</v>
      </c>
      <c r="DY2">
        <v>1354</v>
      </c>
      <c r="DZ2">
        <v>1115</v>
      </c>
      <c r="EA2">
        <v>264</v>
      </c>
      <c r="EB2">
        <v>11133209.1</v>
      </c>
      <c r="EC2">
        <v>12207327.949999999</v>
      </c>
      <c r="ED2">
        <v>1146531.46</v>
      </c>
      <c r="EE2">
        <v>256026.74</v>
      </c>
      <c r="EF2">
        <v>3806275.06</v>
      </c>
      <c r="EG2">
        <v>3423780.41</v>
      </c>
      <c r="EH2">
        <v>4222514.97</v>
      </c>
      <c r="EI2">
        <v>803002.26</v>
      </c>
      <c r="EJ2">
        <v>7212145.5199999996</v>
      </c>
      <c r="EK2">
        <v>5014502.43</v>
      </c>
      <c r="EL2">
        <v>102876.13</v>
      </c>
      <c r="EM2">
        <v>12479248.859999999</v>
      </c>
      <c r="EN2">
        <v>2034150.34</v>
      </c>
      <c r="EO2">
        <v>1178148.6499999999</v>
      </c>
      <c r="EP2">
        <v>3768564.15</v>
      </c>
      <c r="EQ2">
        <v>3254630.18</v>
      </c>
      <c r="ER2">
        <v>935604.92</v>
      </c>
      <c r="ES2">
        <v>1870354.6</v>
      </c>
      <c r="ET2">
        <v>1784673.04</v>
      </c>
      <c r="EU2">
        <v>4234792.8600000003</v>
      </c>
      <c r="EV2">
        <v>6312930.1699999999</v>
      </c>
      <c r="EW2">
        <v>7560004.7400000002</v>
      </c>
      <c r="EX2">
        <v>3933402.95</v>
      </c>
      <c r="EY2">
        <v>624545.32999999996</v>
      </c>
      <c r="EZ2">
        <v>6491</v>
      </c>
      <c r="FA2">
        <v>27966191.109999999</v>
      </c>
      <c r="FB2">
        <v>15221</v>
      </c>
      <c r="FC2">
        <v>629</v>
      </c>
      <c r="FD2">
        <v>4627</v>
      </c>
      <c r="FE2">
        <v>1</v>
      </c>
      <c r="FF2">
        <v>0</v>
      </c>
      <c r="FG2">
        <v>21617</v>
      </c>
      <c r="FH2">
        <v>8242</v>
      </c>
      <c r="FI2">
        <v>7037</v>
      </c>
      <c r="FJ2">
        <v>6437</v>
      </c>
      <c r="FK2">
        <v>27958830.109999999</v>
      </c>
      <c r="FL2">
        <v>5402</v>
      </c>
      <c r="FM2">
        <v>1035</v>
      </c>
      <c r="FN2">
        <v>24093897.050000001</v>
      </c>
      <c r="FO2">
        <v>3864933.06</v>
      </c>
      <c r="FP2">
        <v>2818</v>
      </c>
      <c r="FQ2">
        <v>3357</v>
      </c>
      <c r="FR2">
        <v>268</v>
      </c>
      <c r="FS2">
        <v>44</v>
      </c>
      <c r="FT2">
        <v>857</v>
      </c>
      <c r="FU2">
        <v>631</v>
      </c>
      <c r="FV2">
        <v>628</v>
      </c>
      <c r="FW2">
        <v>385</v>
      </c>
      <c r="FX2">
        <v>2846</v>
      </c>
      <c r="FY2">
        <v>1051</v>
      </c>
      <c r="FZ2">
        <v>39</v>
      </c>
      <c r="GA2">
        <v>3188</v>
      </c>
      <c r="GB2">
        <v>651</v>
      </c>
      <c r="GC2">
        <v>404</v>
      </c>
      <c r="GD2">
        <v>1028</v>
      </c>
      <c r="GE2">
        <v>875</v>
      </c>
      <c r="GF2">
        <v>287</v>
      </c>
      <c r="GG2">
        <v>287</v>
      </c>
      <c r="GH2">
        <v>881</v>
      </c>
      <c r="GI2">
        <v>1329</v>
      </c>
      <c r="GJ2">
        <v>1347</v>
      </c>
      <c r="GK2">
        <v>1229</v>
      </c>
      <c r="GL2">
        <v>1308</v>
      </c>
      <c r="GM2">
        <v>257</v>
      </c>
      <c r="GN2">
        <v>12738537.23</v>
      </c>
      <c r="GO2">
        <v>13976835.390000001</v>
      </c>
      <c r="GP2">
        <v>1036716</v>
      </c>
      <c r="GQ2">
        <v>228564.1</v>
      </c>
      <c r="GR2">
        <v>4382221.6500000004</v>
      </c>
      <c r="GS2">
        <v>3930483.82</v>
      </c>
      <c r="GT2">
        <v>4028509.8</v>
      </c>
      <c r="GU2">
        <v>1105567.72</v>
      </c>
      <c r="GV2">
        <v>8926704.4900000095</v>
      </c>
      <c r="GW2">
        <v>5483665.8099999996</v>
      </c>
      <c r="GX2">
        <v>101676.82</v>
      </c>
      <c r="GY2">
        <v>14641813.66</v>
      </c>
      <c r="GZ2">
        <v>2534572.15</v>
      </c>
      <c r="HA2">
        <v>1197790.96</v>
      </c>
      <c r="HB2">
        <v>4961636.75</v>
      </c>
      <c r="HC2">
        <v>3199808.53</v>
      </c>
      <c r="HD2">
        <v>1390029.31</v>
      </c>
      <c r="HE2">
        <v>1390029.31</v>
      </c>
      <c r="HF2">
        <v>2575953.2200000002</v>
      </c>
      <c r="HG2">
        <v>5061896.3500000099</v>
      </c>
      <c r="HH2">
        <v>7772329.0800000001</v>
      </c>
      <c r="HI2">
        <v>7249111.4299999997</v>
      </c>
      <c r="HJ2">
        <v>4531756.54</v>
      </c>
      <c r="HK2">
        <v>606107.93000000005</v>
      </c>
      <c r="HL2">
        <v>5534</v>
      </c>
      <c r="HM2">
        <v>22995640.68</v>
      </c>
      <c r="HN2">
        <v>15221</v>
      </c>
      <c r="HO2">
        <v>629</v>
      </c>
      <c r="HP2">
        <v>3999</v>
      </c>
      <c r="HQ2">
        <v>1</v>
      </c>
      <c r="HR2">
        <v>0</v>
      </c>
      <c r="HS2">
        <v>18307</v>
      </c>
      <c r="HT2">
        <v>6694</v>
      </c>
      <c r="HU2">
        <v>6260</v>
      </c>
      <c r="HV2">
        <v>5480</v>
      </c>
      <c r="HW2">
        <v>22988279.68</v>
      </c>
      <c r="HX2">
        <v>4544</v>
      </c>
      <c r="HY2">
        <v>936</v>
      </c>
      <c r="HZ2">
        <v>19518989.059999999</v>
      </c>
      <c r="IA2">
        <v>3469290.62</v>
      </c>
      <c r="IB2">
        <v>2175</v>
      </c>
      <c r="IC2">
        <v>3067</v>
      </c>
      <c r="ID2">
        <v>242</v>
      </c>
      <c r="IE2">
        <v>44</v>
      </c>
      <c r="IF2">
        <v>761</v>
      </c>
      <c r="IG2">
        <v>546</v>
      </c>
      <c r="IH2">
        <v>563</v>
      </c>
      <c r="II2">
        <v>357</v>
      </c>
      <c r="IJ2">
        <v>2351</v>
      </c>
      <c r="IK2">
        <v>866</v>
      </c>
      <c r="IL2">
        <v>36</v>
      </c>
      <c r="IM2">
        <v>2537</v>
      </c>
      <c r="IN2">
        <v>570</v>
      </c>
      <c r="IO2">
        <v>372</v>
      </c>
      <c r="IP2">
        <v>936</v>
      </c>
      <c r="IQ2">
        <v>813</v>
      </c>
      <c r="IR2">
        <v>248</v>
      </c>
      <c r="IS2">
        <v>248</v>
      </c>
      <c r="IT2">
        <v>740</v>
      </c>
      <c r="IU2">
        <v>1039</v>
      </c>
      <c r="IV2">
        <v>1151</v>
      </c>
      <c r="IW2">
        <v>1107</v>
      </c>
      <c r="IX2">
        <v>1120</v>
      </c>
      <c r="IY2">
        <v>246</v>
      </c>
      <c r="IZ2">
        <v>9393668.8400000092</v>
      </c>
      <c r="JA2">
        <v>12496076.35</v>
      </c>
      <c r="JB2">
        <v>882893</v>
      </c>
      <c r="JC2">
        <v>228564.1</v>
      </c>
      <c r="JD2">
        <v>3737348.39</v>
      </c>
      <c r="JE2">
        <v>3281944.26</v>
      </c>
      <c r="JF2">
        <v>3492479.27</v>
      </c>
      <c r="JG2">
        <v>993402.55</v>
      </c>
      <c r="JH2">
        <v>7016565.6700000102</v>
      </c>
      <c r="JI2">
        <v>4373515.18</v>
      </c>
      <c r="JJ2">
        <v>93024.36</v>
      </c>
      <c r="JK2">
        <v>11129989.6</v>
      </c>
      <c r="JL2">
        <v>2194061.7599999998</v>
      </c>
      <c r="JM2">
        <v>1081336.28</v>
      </c>
      <c r="JN2">
        <v>4466885.58</v>
      </c>
      <c r="JO2">
        <v>2952570.14</v>
      </c>
      <c r="JP2">
        <v>1130257.57</v>
      </c>
      <c r="JQ2">
        <v>1130257.57</v>
      </c>
      <c r="JR2">
        <v>2076050.61</v>
      </c>
      <c r="JS2">
        <v>3744459.48</v>
      </c>
      <c r="JT2">
        <v>6342916.5199999996</v>
      </c>
      <c r="JU2">
        <v>6340839.1100000003</v>
      </c>
      <c r="JV2">
        <v>3762510.61</v>
      </c>
      <c r="JW2">
        <v>581289.86</v>
      </c>
      <c r="JX2">
        <v>151</v>
      </c>
      <c r="JY2">
        <v>439929.4</v>
      </c>
      <c r="JZ2">
        <v>432</v>
      </c>
      <c r="KA2">
        <v>196</v>
      </c>
      <c r="KB2">
        <v>130</v>
      </c>
      <c r="KC2">
        <v>137</v>
      </c>
      <c r="KD2">
        <v>435093.33</v>
      </c>
      <c r="KE2">
        <v>128</v>
      </c>
      <c r="KF2">
        <v>9</v>
      </c>
      <c r="KG2">
        <v>410269.33</v>
      </c>
      <c r="KH2">
        <v>24824</v>
      </c>
      <c r="KI2">
        <v>49</v>
      </c>
      <c r="KJ2">
        <v>79</v>
      </c>
      <c r="KK2">
        <v>25</v>
      </c>
      <c r="KL2">
        <v>0</v>
      </c>
      <c r="KM2">
        <v>18</v>
      </c>
      <c r="KN2">
        <v>15</v>
      </c>
      <c r="KO2">
        <v>9</v>
      </c>
      <c r="KP2">
        <v>12</v>
      </c>
      <c r="KQ2">
        <v>71</v>
      </c>
      <c r="KR2">
        <v>11</v>
      </c>
      <c r="KS2">
        <v>1</v>
      </c>
      <c r="KT2">
        <v>86</v>
      </c>
      <c r="KU2">
        <v>5</v>
      </c>
      <c r="KV2">
        <v>13</v>
      </c>
      <c r="KW2">
        <v>17</v>
      </c>
      <c r="KX2">
        <v>15</v>
      </c>
      <c r="KY2">
        <v>1</v>
      </c>
      <c r="KZ2">
        <v>1</v>
      </c>
      <c r="LA2">
        <v>0</v>
      </c>
      <c r="LB2">
        <v>2</v>
      </c>
      <c r="LC2">
        <v>0</v>
      </c>
      <c r="LD2">
        <v>59</v>
      </c>
      <c r="LE2">
        <v>59</v>
      </c>
      <c r="LF2">
        <v>17</v>
      </c>
      <c r="LG2">
        <v>167066.95000000001</v>
      </c>
      <c r="LH2">
        <v>248463.38</v>
      </c>
      <c r="LI2">
        <v>28940.07</v>
      </c>
      <c r="LJ2">
        <v>0</v>
      </c>
      <c r="LK2">
        <v>69141</v>
      </c>
      <c r="LL2">
        <v>65637</v>
      </c>
      <c r="LM2">
        <v>44835</v>
      </c>
      <c r="LN2">
        <v>28009</v>
      </c>
      <c r="LO2">
        <v>182558.33</v>
      </c>
      <c r="LP2">
        <v>43268</v>
      </c>
      <c r="LQ2">
        <v>1645</v>
      </c>
      <c r="LR2">
        <v>265718.95</v>
      </c>
      <c r="LS2">
        <v>17524</v>
      </c>
      <c r="LT2">
        <v>33934.379999999997</v>
      </c>
      <c r="LU2">
        <v>70044</v>
      </c>
      <c r="LV2">
        <v>45072</v>
      </c>
      <c r="LW2">
        <v>2800</v>
      </c>
      <c r="LX2">
        <v>2800</v>
      </c>
      <c r="LY2">
        <v>0</v>
      </c>
      <c r="LZ2">
        <v>9708</v>
      </c>
      <c r="MA2">
        <v>0</v>
      </c>
      <c r="MB2">
        <v>204845</v>
      </c>
      <c r="MC2">
        <v>173001.34</v>
      </c>
      <c r="MD2">
        <v>47538.99</v>
      </c>
      <c r="ME2">
        <v>147</v>
      </c>
      <c r="MF2">
        <v>407849.4</v>
      </c>
      <c r="MG2">
        <v>413</v>
      </c>
      <c r="MH2">
        <v>177</v>
      </c>
      <c r="MI2">
        <v>130</v>
      </c>
      <c r="MJ2">
        <v>133</v>
      </c>
      <c r="MK2">
        <v>403013.33</v>
      </c>
      <c r="ML2">
        <v>124</v>
      </c>
      <c r="MM2">
        <v>9</v>
      </c>
      <c r="MN2">
        <v>378189.33</v>
      </c>
      <c r="MO2">
        <v>24824</v>
      </c>
      <c r="MP2">
        <v>46</v>
      </c>
      <c r="MQ2">
        <v>79</v>
      </c>
      <c r="MR2">
        <v>24</v>
      </c>
      <c r="MS2">
        <v>0</v>
      </c>
      <c r="MT2">
        <v>17</v>
      </c>
      <c r="MU2">
        <v>15</v>
      </c>
      <c r="MV2">
        <v>8</v>
      </c>
      <c r="MW2">
        <v>11</v>
      </c>
      <c r="MX2">
        <v>71</v>
      </c>
      <c r="MY2">
        <v>10</v>
      </c>
      <c r="MZ2">
        <v>1</v>
      </c>
      <c r="NA2">
        <v>83</v>
      </c>
      <c r="NB2">
        <v>5</v>
      </c>
      <c r="NC2">
        <v>13</v>
      </c>
      <c r="ND2">
        <v>16</v>
      </c>
      <c r="NE2">
        <v>15</v>
      </c>
      <c r="NF2">
        <v>1</v>
      </c>
      <c r="NG2">
        <v>1</v>
      </c>
      <c r="NH2">
        <v>0</v>
      </c>
      <c r="NI2">
        <v>0</v>
      </c>
      <c r="NJ2">
        <v>0</v>
      </c>
      <c r="NK2">
        <v>57</v>
      </c>
      <c r="NL2">
        <v>59</v>
      </c>
      <c r="NM2">
        <v>17</v>
      </c>
      <c r="NN2">
        <v>141930.95000000001</v>
      </c>
      <c r="NO2">
        <v>248463.38</v>
      </c>
      <c r="NP2">
        <v>21996.07</v>
      </c>
      <c r="NQ2">
        <v>0</v>
      </c>
      <c r="NR2">
        <v>53713</v>
      </c>
      <c r="NS2">
        <v>65637</v>
      </c>
      <c r="NT2">
        <v>37891</v>
      </c>
      <c r="NU2">
        <v>23539</v>
      </c>
      <c r="NV2">
        <v>182558.33</v>
      </c>
      <c r="NW2">
        <v>38030</v>
      </c>
      <c r="NX2">
        <v>1645</v>
      </c>
      <c r="NY2">
        <v>249066.95</v>
      </c>
      <c r="NZ2">
        <v>17524</v>
      </c>
      <c r="OA2">
        <v>33934.379999999997</v>
      </c>
      <c r="OB2">
        <v>54616</v>
      </c>
      <c r="OC2">
        <v>45072</v>
      </c>
      <c r="OD2">
        <v>2800</v>
      </c>
      <c r="OE2">
        <v>2800</v>
      </c>
      <c r="OF2">
        <v>0</v>
      </c>
      <c r="OG2">
        <v>0</v>
      </c>
      <c r="OH2">
        <v>0</v>
      </c>
      <c r="OI2">
        <v>182473</v>
      </c>
      <c r="OJ2">
        <v>173001.34</v>
      </c>
      <c r="OK2">
        <v>47538.99</v>
      </c>
      <c r="OL2">
        <v>191</v>
      </c>
      <c r="OM2">
        <v>579411.85</v>
      </c>
      <c r="ON2">
        <v>558</v>
      </c>
      <c r="OO2">
        <v>225</v>
      </c>
      <c r="OP2">
        <v>163</v>
      </c>
      <c r="OQ2">
        <v>158</v>
      </c>
      <c r="OR2">
        <v>571022.51</v>
      </c>
      <c r="OS2">
        <v>141</v>
      </c>
      <c r="OT2">
        <v>17</v>
      </c>
      <c r="OU2">
        <v>518520.51</v>
      </c>
      <c r="OV2">
        <v>52502</v>
      </c>
      <c r="OW2">
        <v>63</v>
      </c>
      <c r="OX2">
        <v>88</v>
      </c>
      <c r="OY2">
        <v>40</v>
      </c>
      <c r="OZ2">
        <v>0</v>
      </c>
      <c r="PA2">
        <v>27</v>
      </c>
      <c r="PB2">
        <v>15</v>
      </c>
      <c r="PC2">
        <v>13</v>
      </c>
      <c r="PD2">
        <v>11</v>
      </c>
      <c r="PE2">
        <v>73</v>
      </c>
      <c r="PF2">
        <v>18</v>
      </c>
      <c r="PG2">
        <v>1</v>
      </c>
      <c r="PH2">
        <v>84</v>
      </c>
      <c r="PI2">
        <v>11</v>
      </c>
      <c r="PJ2">
        <v>9</v>
      </c>
      <c r="PK2">
        <v>20</v>
      </c>
      <c r="PL2">
        <v>22</v>
      </c>
      <c r="PM2">
        <v>7</v>
      </c>
      <c r="PN2">
        <v>12</v>
      </c>
      <c r="PO2">
        <v>1</v>
      </c>
      <c r="PP2">
        <v>2</v>
      </c>
      <c r="PQ2">
        <v>1</v>
      </c>
      <c r="PR2">
        <v>71</v>
      </c>
      <c r="PS2">
        <v>58</v>
      </c>
      <c r="PT2">
        <v>25</v>
      </c>
      <c r="PU2">
        <v>215434.13</v>
      </c>
      <c r="PV2">
        <v>339658.38</v>
      </c>
      <c r="PW2">
        <v>24319.34</v>
      </c>
      <c r="PX2">
        <v>0</v>
      </c>
      <c r="PY2">
        <v>110175</v>
      </c>
      <c r="PZ2">
        <v>67422</v>
      </c>
      <c r="QA2">
        <v>63392</v>
      </c>
      <c r="QB2">
        <v>25482</v>
      </c>
      <c r="QC2">
        <v>195313.6</v>
      </c>
      <c r="QD2">
        <v>108737.91</v>
      </c>
      <c r="QE2">
        <v>500</v>
      </c>
      <c r="QF2">
        <v>291311.92</v>
      </c>
      <c r="QG2">
        <v>33205.68</v>
      </c>
      <c r="QH2">
        <v>20078.990000000002</v>
      </c>
      <c r="QI2">
        <v>88658</v>
      </c>
      <c r="QJ2">
        <v>67211.92</v>
      </c>
      <c r="QK2">
        <v>38876</v>
      </c>
      <c r="QL2">
        <v>70556</v>
      </c>
      <c r="QM2">
        <v>10277</v>
      </c>
      <c r="QN2">
        <v>12045</v>
      </c>
      <c r="QO2">
        <v>8000</v>
      </c>
      <c r="QP2">
        <v>286931.96999999997</v>
      </c>
      <c r="QQ2">
        <v>190913.58</v>
      </c>
      <c r="QR2">
        <v>62854.96</v>
      </c>
      <c r="QS2">
        <v>182</v>
      </c>
      <c r="QT2">
        <v>501956.85</v>
      </c>
      <c r="QU2">
        <v>496</v>
      </c>
      <c r="QV2">
        <v>203</v>
      </c>
      <c r="QW2">
        <v>163</v>
      </c>
      <c r="QX2">
        <v>149</v>
      </c>
      <c r="QY2">
        <v>493567.51</v>
      </c>
      <c r="QZ2">
        <v>132</v>
      </c>
      <c r="RA2">
        <v>17</v>
      </c>
      <c r="RB2">
        <v>441065.51</v>
      </c>
      <c r="RC2">
        <v>52502</v>
      </c>
      <c r="RD2">
        <v>59</v>
      </c>
      <c r="RE2">
        <v>83</v>
      </c>
      <c r="RF2">
        <v>40</v>
      </c>
      <c r="RG2">
        <v>0</v>
      </c>
      <c r="RH2">
        <v>24</v>
      </c>
      <c r="RI2">
        <v>14</v>
      </c>
      <c r="RJ2">
        <v>13</v>
      </c>
      <c r="RK2">
        <v>11</v>
      </c>
      <c r="RL2">
        <v>72</v>
      </c>
      <c r="RM2">
        <v>14</v>
      </c>
      <c r="RN2">
        <v>1</v>
      </c>
      <c r="RO2">
        <v>84</v>
      </c>
      <c r="RP2">
        <v>11</v>
      </c>
      <c r="RQ2">
        <v>8</v>
      </c>
      <c r="RR2">
        <v>15</v>
      </c>
      <c r="RS2">
        <v>22</v>
      </c>
      <c r="RT2">
        <v>5</v>
      </c>
      <c r="RU2">
        <v>10</v>
      </c>
      <c r="RV2">
        <v>0</v>
      </c>
      <c r="RW2">
        <v>0</v>
      </c>
      <c r="RX2">
        <v>0</v>
      </c>
      <c r="RY2">
        <v>68</v>
      </c>
      <c r="RZ2">
        <v>56</v>
      </c>
      <c r="SA2">
        <v>25</v>
      </c>
      <c r="SB2">
        <v>187220.13</v>
      </c>
      <c r="SC2">
        <v>290417.38</v>
      </c>
      <c r="SD2">
        <v>24319.34</v>
      </c>
      <c r="SE2">
        <v>0</v>
      </c>
      <c r="SF2">
        <v>87850</v>
      </c>
      <c r="SG2">
        <v>59422</v>
      </c>
      <c r="SH2">
        <v>63392</v>
      </c>
      <c r="SI2">
        <v>25482</v>
      </c>
      <c r="SJ2">
        <v>191167.6</v>
      </c>
      <c r="SK2">
        <v>65753.91</v>
      </c>
      <c r="SL2">
        <v>500</v>
      </c>
      <c r="SM2">
        <v>291311.92</v>
      </c>
      <c r="SN2">
        <v>33205.68</v>
      </c>
      <c r="SO2">
        <v>17353.990000000002</v>
      </c>
      <c r="SP2">
        <v>57798</v>
      </c>
      <c r="SQ2">
        <v>67211.92</v>
      </c>
      <c r="SR2">
        <v>18856</v>
      </c>
      <c r="SS2">
        <v>50536</v>
      </c>
      <c r="ST2">
        <v>0</v>
      </c>
      <c r="SU2">
        <v>0</v>
      </c>
      <c r="SV2">
        <v>0</v>
      </c>
      <c r="SW2">
        <v>248336.97</v>
      </c>
      <c r="SX2">
        <v>182375.58</v>
      </c>
      <c r="SY2">
        <v>62854.96</v>
      </c>
      <c r="SZ2">
        <v>98</v>
      </c>
      <c r="TA2">
        <v>339545.21</v>
      </c>
      <c r="TB2">
        <v>308</v>
      </c>
      <c r="TC2">
        <v>75</v>
      </c>
      <c r="TD2">
        <v>154</v>
      </c>
      <c r="TE2">
        <v>95</v>
      </c>
      <c r="TF2">
        <v>339147.21</v>
      </c>
      <c r="TG2">
        <v>81</v>
      </c>
      <c r="TH2">
        <v>14</v>
      </c>
      <c r="TI2">
        <v>293348.21000000002</v>
      </c>
      <c r="TJ2">
        <v>45799</v>
      </c>
      <c r="TK2">
        <v>37</v>
      </c>
      <c r="TL2">
        <v>54</v>
      </c>
      <c r="TM2">
        <v>7</v>
      </c>
      <c r="TN2">
        <v>0</v>
      </c>
      <c r="TO2">
        <v>14</v>
      </c>
      <c r="TP2">
        <v>12</v>
      </c>
      <c r="TQ2">
        <v>10</v>
      </c>
      <c r="TR2">
        <v>4</v>
      </c>
      <c r="TS2">
        <v>45</v>
      </c>
      <c r="TT2">
        <v>10</v>
      </c>
      <c r="TU2">
        <v>0</v>
      </c>
      <c r="TV2">
        <v>49</v>
      </c>
      <c r="TW2">
        <v>13</v>
      </c>
      <c r="TX2">
        <v>8</v>
      </c>
      <c r="TY2">
        <v>9</v>
      </c>
      <c r="TZ2">
        <v>13</v>
      </c>
      <c r="UA2">
        <v>3</v>
      </c>
      <c r="UB2">
        <v>3</v>
      </c>
      <c r="UC2">
        <v>5</v>
      </c>
      <c r="UD2">
        <v>4</v>
      </c>
      <c r="UE2">
        <v>3</v>
      </c>
      <c r="UF2">
        <v>36</v>
      </c>
      <c r="UG2">
        <v>32</v>
      </c>
      <c r="UH2">
        <v>15</v>
      </c>
      <c r="UI2">
        <v>129343.5</v>
      </c>
      <c r="UJ2">
        <v>199027.05</v>
      </c>
      <c r="UK2">
        <v>11174.66</v>
      </c>
      <c r="UL2">
        <v>0</v>
      </c>
      <c r="UM2">
        <v>62460.6</v>
      </c>
      <c r="UN2">
        <v>55561.5</v>
      </c>
      <c r="UO2">
        <v>50232</v>
      </c>
      <c r="UP2">
        <v>7997</v>
      </c>
      <c r="UQ2">
        <v>124885.11</v>
      </c>
      <c r="UR2">
        <v>38011</v>
      </c>
      <c r="US2">
        <v>0</v>
      </c>
      <c r="UT2">
        <v>186840.21</v>
      </c>
      <c r="UU2">
        <v>45732</v>
      </c>
      <c r="UV2">
        <v>18920</v>
      </c>
      <c r="UW2">
        <v>32199</v>
      </c>
      <c r="UX2">
        <v>42056</v>
      </c>
      <c r="UY2">
        <v>13400</v>
      </c>
      <c r="UZ2">
        <v>13400</v>
      </c>
      <c r="VA2">
        <v>20103</v>
      </c>
      <c r="VB2">
        <v>19056</v>
      </c>
      <c r="VC2">
        <v>24409</v>
      </c>
      <c r="VD2">
        <v>157683.60999999999</v>
      </c>
      <c r="VE2">
        <v>79911.600000000006</v>
      </c>
      <c r="VF2">
        <v>37984</v>
      </c>
      <c r="VG2">
        <v>79</v>
      </c>
      <c r="VH2">
        <v>237376.29</v>
      </c>
      <c r="VI2">
        <v>231</v>
      </c>
      <c r="VJ2">
        <v>52</v>
      </c>
      <c r="VK2">
        <v>129</v>
      </c>
      <c r="VL2">
        <v>76</v>
      </c>
      <c r="VM2">
        <v>236978.29</v>
      </c>
      <c r="VN2">
        <v>67</v>
      </c>
      <c r="VO2">
        <v>9</v>
      </c>
      <c r="VP2">
        <v>211911.29</v>
      </c>
      <c r="VQ2">
        <v>25067</v>
      </c>
      <c r="VR2">
        <v>28</v>
      </c>
      <c r="VS2">
        <v>44</v>
      </c>
      <c r="VT2">
        <v>7</v>
      </c>
      <c r="VU2">
        <v>0</v>
      </c>
      <c r="VV2">
        <v>9</v>
      </c>
      <c r="VW2">
        <v>11</v>
      </c>
      <c r="VX2">
        <v>9</v>
      </c>
      <c r="VY2">
        <v>3</v>
      </c>
      <c r="VZ2">
        <v>37</v>
      </c>
      <c r="WA2">
        <v>7</v>
      </c>
      <c r="WB2">
        <v>0</v>
      </c>
      <c r="WC2">
        <v>38</v>
      </c>
      <c r="WD2">
        <v>10</v>
      </c>
      <c r="WE2">
        <v>6</v>
      </c>
      <c r="WF2">
        <v>7</v>
      </c>
      <c r="WG2">
        <v>13</v>
      </c>
      <c r="WH2">
        <v>2</v>
      </c>
      <c r="WI2">
        <v>2</v>
      </c>
      <c r="WJ2">
        <v>0</v>
      </c>
      <c r="WK2">
        <v>0</v>
      </c>
      <c r="WL2">
        <v>0</v>
      </c>
      <c r="WM2">
        <v>32</v>
      </c>
      <c r="WN2">
        <v>29</v>
      </c>
      <c r="WO2">
        <v>15</v>
      </c>
      <c r="WP2">
        <v>86193.5</v>
      </c>
      <c r="WQ2">
        <v>140008.13</v>
      </c>
      <c r="WR2">
        <v>11174.66</v>
      </c>
      <c r="WS2">
        <v>0</v>
      </c>
      <c r="WT2">
        <v>29682.68</v>
      </c>
      <c r="WU2">
        <v>43429.5</v>
      </c>
      <c r="WV2">
        <v>41232</v>
      </c>
      <c r="WW2">
        <v>4934</v>
      </c>
      <c r="WX2">
        <v>93583.11</v>
      </c>
      <c r="WY2">
        <v>24117</v>
      </c>
      <c r="WZ2">
        <v>0</v>
      </c>
      <c r="XA2">
        <v>125028.29</v>
      </c>
      <c r="XB2">
        <v>30147</v>
      </c>
      <c r="XC2">
        <v>10645</v>
      </c>
      <c r="XD2">
        <v>24702</v>
      </c>
      <c r="XE2">
        <v>42056</v>
      </c>
      <c r="XF2">
        <v>4400</v>
      </c>
      <c r="XG2">
        <v>4400</v>
      </c>
      <c r="XH2">
        <v>0</v>
      </c>
      <c r="XI2">
        <v>0</v>
      </c>
      <c r="XJ2">
        <v>0</v>
      </c>
      <c r="XK2">
        <v>130020.61</v>
      </c>
      <c r="XL2">
        <v>68973.679999999993</v>
      </c>
      <c r="XM2">
        <v>37984</v>
      </c>
      <c r="XN2">
        <v>429</v>
      </c>
      <c r="XO2">
        <v>1274092.83</v>
      </c>
      <c r="XP2">
        <v>1222</v>
      </c>
      <c r="XQ2">
        <v>503</v>
      </c>
      <c r="XR2">
        <v>376</v>
      </c>
      <c r="XS2">
        <v>377</v>
      </c>
      <c r="XT2">
        <v>1259884.6000000001</v>
      </c>
      <c r="XU2">
        <v>342</v>
      </c>
      <c r="XV2">
        <v>35</v>
      </c>
      <c r="XW2">
        <v>1160310.6000000001</v>
      </c>
      <c r="XX2">
        <v>99574</v>
      </c>
      <c r="XY2">
        <v>143</v>
      </c>
      <c r="XZ2">
        <v>214</v>
      </c>
      <c r="YA2">
        <v>74</v>
      </c>
      <c r="YB2">
        <v>0</v>
      </c>
      <c r="YC2">
        <v>54</v>
      </c>
      <c r="YD2">
        <v>38</v>
      </c>
      <c r="YE2">
        <v>27</v>
      </c>
      <c r="YF2">
        <v>36</v>
      </c>
      <c r="YG2">
        <v>180</v>
      </c>
      <c r="YH2">
        <v>40</v>
      </c>
      <c r="YI2">
        <v>2</v>
      </c>
      <c r="YJ2">
        <v>217</v>
      </c>
      <c r="YK2">
        <v>25</v>
      </c>
      <c r="YL2">
        <v>25</v>
      </c>
      <c r="YM2">
        <v>44</v>
      </c>
      <c r="YN2">
        <v>51</v>
      </c>
      <c r="YO2">
        <v>9</v>
      </c>
      <c r="YP2">
        <v>15</v>
      </c>
      <c r="YQ2">
        <v>1</v>
      </c>
      <c r="YR2">
        <v>4</v>
      </c>
      <c r="YS2">
        <v>1</v>
      </c>
      <c r="YT2">
        <v>164</v>
      </c>
      <c r="YU2">
        <v>153</v>
      </c>
      <c r="YV2">
        <v>54</v>
      </c>
      <c r="YW2">
        <v>484510.88</v>
      </c>
      <c r="YX2">
        <v>729610.72</v>
      </c>
      <c r="YY2">
        <v>64512.23</v>
      </c>
      <c r="YZ2">
        <v>0</v>
      </c>
      <c r="ZA2">
        <v>209655</v>
      </c>
      <c r="ZB2">
        <v>167850</v>
      </c>
      <c r="ZC2">
        <v>127497.8</v>
      </c>
      <c r="ZD2">
        <v>89260</v>
      </c>
      <c r="ZE2">
        <v>469300.89</v>
      </c>
      <c r="ZF2">
        <v>194175.91</v>
      </c>
      <c r="ZG2">
        <v>2145</v>
      </c>
      <c r="ZH2">
        <v>714369.87</v>
      </c>
      <c r="ZI2">
        <v>80102.679999999993</v>
      </c>
      <c r="ZJ2">
        <v>60781.37</v>
      </c>
      <c r="ZK2">
        <v>177034.76</v>
      </c>
      <c r="ZL2">
        <v>145834.92000000001</v>
      </c>
      <c r="ZM2">
        <v>48481</v>
      </c>
      <c r="ZN2">
        <v>81761</v>
      </c>
      <c r="ZO2">
        <v>10277</v>
      </c>
      <c r="ZP2">
        <v>21753</v>
      </c>
      <c r="ZQ2">
        <v>8000</v>
      </c>
      <c r="ZR2">
        <v>606583.97</v>
      </c>
      <c r="ZS2">
        <v>477918.68</v>
      </c>
      <c r="ZT2">
        <v>135351.95000000001</v>
      </c>
      <c r="ZU2">
        <v>416</v>
      </c>
      <c r="ZV2">
        <v>1164557.83</v>
      </c>
      <c r="ZW2">
        <v>1141</v>
      </c>
      <c r="ZX2">
        <v>462</v>
      </c>
      <c r="ZY2">
        <v>376</v>
      </c>
      <c r="ZZ2">
        <v>364</v>
      </c>
      <c r="AAA2">
        <v>1150349.6000000001</v>
      </c>
      <c r="AAB2">
        <v>329</v>
      </c>
      <c r="AAC2">
        <v>35</v>
      </c>
      <c r="AAD2">
        <v>1050775.6000000001</v>
      </c>
      <c r="AAE2">
        <v>99574</v>
      </c>
      <c r="AAF2">
        <v>136</v>
      </c>
      <c r="AAG2">
        <v>209</v>
      </c>
      <c r="AAH2">
        <v>73</v>
      </c>
      <c r="AAI2">
        <v>0</v>
      </c>
      <c r="AAJ2">
        <v>50</v>
      </c>
      <c r="AAK2">
        <v>37</v>
      </c>
      <c r="AAL2">
        <v>26</v>
      </c>
      <c r="AAM2">
        <v>35</v>
      </c>
      <c r="AAN2">
        <v>179</v>
      </c>
      <c r="AAO2">
        <v>35</v>
      </c>
      <c r="AAP2">
        <v>2</v>
      </c>
      <c r="AAQ2">
        <v>214</v>
      </c>
      <c r="AAR2">
        <v>25</v>
      </c>
      <c r="AAS2">
        <v>24</v>
      </c>
      <c r="AAT2">
        <v>38</v>
      </c>
      <c r="AAU2">
        <v>51</v>
      </c>
      <c r="AAV2">
        <v>7</v>
      </c>
      <c r="AAW2">
        <v>13</v>
      </c>
      <c r="AAX2">
        <v>0</v>
      </c>
      <c r="AAY2">
        <v>0</v>
      </c>
      <c r="AAZ2">
        <v>0</v>
      </c>
      <c r="ABA2">
        <v>159</v>
      </c>
      <c r="ABB2">
        <v>151</v>
      </c>
      <c r="ABC2">
        <v>54</v>
      </c>
      <c r="ABD2">
        <v>431160.88</v>
      </c>
      <c r="ABE2">
        <v>680369.72</v>
      </c>
      <c r="ABF2">
        <v>57568.23</v>
      </c>
      <c r="ABG2">
        <v>0</v>
      </c>
      <c r="ABH2">
        <v>171902</v>
      </c>
      <c r="ABI2">
        <v>159850</v>
      </c>
      <c r="ABJ2">
        <v>120553.8</v>
      </c>
      <c r="ABK2">
        <v>84790</v>
      </c>
      <c r="ABL2">
        <v>465154.89</v>
      </c>
      <c r="ABM2">
        <v>145953.91</v>
      </c>
      <c r="ABN2">
        <v>2145</v>
      </c>
      <c r="ABO2">
        <v>697717.87</v>
      </c>
      <c r="ABP2">
        <v>80102.679999999993</v>
      </c>
      <c r="ABQ2">
        <v>58056.37</v>
      </c>
      <c r="ABR2">
        <v>130746.76</v>
      </c>
      <c r="ABS2">
        <v>145834.92000000001</v>
      </c>
      <c r="ABT2">
        <v>28461</v>
      </c>
      <c r="ABU2">
        <v>61741</v>
      </c>
      <c r="ABV2">
        <v>0</v>
      </c>
      <c r="ABW2">
        <v>0</v>
      </c>
      <c r="ABX2">
        <v>0</v>
      </c>
      <c r="ABY2">
        <v>545616.97</v>
      </c>
      <c r="ABZ2">
        <v>469380.68</v>
      </c>
      <c r="ACA2">
        <v>135351.95000000001</v>
      </c>
      <c r="ACB2">
        <v>314</v>
      </c>
      <c r="ACC2">
        <v>1181956.93</v>
      </c>
      <c r="ACD2">
        <v>941</v>
      </c>
      <c r="ACE2">
        <v>309</v>
      </c>
      <c r="ACF2">
        <v>416</v>
      </c>
      <c r="ACG2">
        <v>305</v>
      </c>
      <c r="ACH2">
        <v>1179629.93</v>
      </c>
      <c r="ACI2">
        <v>272</v>
      </c>
      <c r="ACJ2">
        <v>33</v>
      </c>
      <c r="ACK2">
        <v>1074437.3500000001</v>
      </c>
      <c r="ACL2">
        <v>105192.58</v>
      </c>
      <c r="ACM2">
        <v>136</v>
      </c>
      <c r="ACN2">
        <v>156</v>
      </c>
      <c r="ACO2">
        <v>20</v>
      </c>
      <c r="ACP2">
        <v>1</v>
      </c>
      <c r="ACQ2">
        <v>46</v>
      </c>
      <c r="ACR2">
        <v>23</v>
      </c>
      <c r="ACS2">
        <v>29</v>
      </c>
      <c r="ACT2">
        <v>15</v>
      </c>
      <c r="ACU2">
        <v>150</v>
      </c>
      <c r="ACV2">
        <v>39</v>
      </c>
      <c r="ACW2">
        <v>3</v>
      </c>
      <c r="ACX2">
        <v>175</v>
      </c>
      <c r="ACY2">
        <v>27</v>
      </c>
      <c r="ACZ2">
        <v>16</v>
      </c>
      <c r="ADA2">
        <v>40</v>
      </c>
      <c r="ADB2">
        <v>39</v>
      </c>
      <c r="ADC2">
        <v>8</v>
      </c>
      <c r="ADD2">
        <v>8</v>
      </c>
      <c r="ADE2">
        <v>13</v>
      </c>
      <c r="ADF2">
        <v>34</v>
      </c>
      <c r="ADG2">
        <v>13</v>
      </c>
      <c r="ADH2">
        <v>100</v>
      </c>
      <c r="ADI2">
        <v>106</v>
      </c>
      <c r="ADJ2">
        <v>39</v>
      </c>
      <c r="ADK2">
        <v>551952.66</v>
      </c>
      <c r="ADL2">
        <v>580086.05000000005</v>
      </c>
      <c r="ADM2">
        <v>38886.660000000003</v>
      </c>
      <c r="ADN2">
        <v>10296.56</v>
      </c>
      <c r="ADO2">
        <v>202138.28</v>
      </c>
      <c r="ADP2">
        <v>119853.5</v>
      </c>
      <c r="ADQ2">
        <v>150041.92000000001</v>
      </c>
      <c r="ADR2">
        <v>38964</v>
      </c>
      <c r="ADS2">
        <v>484669.67</v>
      </c>
      <c r="ADT2">
        <v>168326</v>
      </c>
      <c r="ADU2">
        <v>15636.56</v>
      </c>
      <c r="ADV2">
        <v>745803.13</v>
      </c>
      <c r="ADW2">
        <v>90972.68</v>
      </c>
      <c r="ADX2">
        <v>35154</v>
      </c>
      <c r="ADY2">
        <v>171968.56</v>
      </c>
      <c r="ADZ2">
        <v>109448.56</v>
      </c>
      <c r="AEA2">
        <v>26283</v>
      </c>
      <c r="AEB2">
        <v>26283</v>
      </c>
      <c r="AEC2">
        <v>59708.2</v>
      </c>
      <c r="AED2">
        <v>195422</v>
      </c>
      <c r="AEE2">
        <v>95261.52</v>
      </c>
      <c r="AEF2">
        <v>418004.97</v>
      </c>
      <c r="AEG2">
        <v>322533.06</v>
      </c>
      <c r="AEH2">
        <v>88700.18</v>
      </c>
      <c r="AEI2">
        <v>230</v>
      </c>
      <c r="AEJ2">
        <v>699177.29</v>
      </c>
      <c r="AEK2">
        <v>641</v>
      </c>
      <c r="AEL2">
        <v>157</v>
      </c>
      <c r="AEM2">
        <v>338</v>
      </c>
      <c r="AEN2">
        <v>221</v>
      </c>
      <c r="AEO2">
        <v>696850.29</v>
      </c>
      <c r="AEP2">
        <v>196</v>
      </c>
      <c r="AEQ2">
        <v>25</v>
      </c>
      <c r="AER2">
        <v>628277.71</v>
      </c>
      <c r="AES2">
        <v>68572.58</v>
      </c>
      <c r="AET2">
        <v>81</v>
      </c>
      <c r="AEU2">
        <v>128</v>
      </c>
      <c r="AEV2">
        <v>19</v>
      </c>
      <c r="AEW2">
        <v>1</v>
      </c>
      <c r="AEX2">
        <v>30</v>
      </c>
      <c r="AEY2">
        <v>17</v>
      </c>
      <c r="AEZ2">
        <v>23</v>
      </c>
      <c r="AFA2">
        <v>13</v>
      </c>
      <c r="AFB2">
        <v>111</v>
      </c>
      <c r="AFC2">
        <v>25</v>
      </c>
      <c r="AFD2">
        <v>2</v>
      </c>
      <c r="AFE2">
        <v>112</v>
      </c>
      <c r="AFF2">
        <v>22</v>
      </c>
      <c r="AFG2">
        <v>12</v>
      </c>
      <c r="AFH2">
        <v>29</v>
      </c>
      <c r="AFI2">
        <v>39</v>
      </c>
      <c r="AFJ2">
        <v>7</v>
      </c>
      <c r="AFK2">
        <v>7</v>
      </c>
      <c r="AFL2">
        <v>0</v>
      </c>
      <c r="AFM2">
        <v>0</v>
      </c>
      <c r="AFN2">
        <v>0</v>
      </c>
      <c r="AFO2">
        <v>91</v>
      </c>
      <c r="AFP2">
        <v>91</v>
      </c>
      <c r="AFQ2">
        <v>39</v>
      </c>
      <c r="AFR2">
        <v>242365.14</v>
      </c>
      <c r="AFS2">
        <v>410353.93</v>
      </c>
      <c r="AFT2">
        <v>35426.660000000003</v>
      </c>
      <c r="AFU2">
        <v>10296.56</v>
      </c>
      <c r="AFV2">
        <v>110809.16</v>
      </c>
      <c r="AFW2">
        <v>67123.5</v>
      </c>
      <c r="AFX2">
        <v>103539</v>
      </c>
      <c r="AFY2">
        <v>32788</v>
      </c>
      <c r="AFZ2">
        <v>285245.07</v>
      </c>
      <c r="AGA2">
        <v>85169</v>
      </c>
      <c r="AGB2">
        <v>12176.56</v>
      </c>
      <c r="AGC2">
        <v>373973.89</v>
      </c>
      <c r="AGD2">
        <v>66573.279999999999</v>
      </c>
      <c r="AGE2">
        <v>21101</v>
      </c>
      <c r="AGF2">
        <v>108470.56</v>
      </c>
      <c r="AGG2">
        <v>109448.56</v>
      </c>
      <c r="AGH2">
        <v>17283</v>
      </c>
      <c r="AGI2">
        <v>17283</v>
      </c>
      <c r="AGJ2">
        <v>0</v>
      </c>
      <c r="AGK2">
        <v>0</v>
      </c>
      <c r="AGL2">
        <v>0</v>
      </c>
      <c r="AGM2">
        <v>356542.97</v>
      </c>
      <c r="AGN2">
        <v>251607.14</v>
      </c>
      <c r="AGO2">
        <v>88700.18</v>
      </c>
      <c r="AGP2">
        <v>6059</v>
      </c>
      <c r="AGQ2">
        <v>24866780.25</v>
      </c>
      <c r="AGR2">
        <v>20282</v>
      </c>
      <c r="AGS2">
        <v>8778</v>
      </c>
      <c r="AGT2">
        <v>4733</v>
      </c>
      <c r="AGU2">
        <v>5653</v>
      </c>
      <c r="AGV2">
        <v>24733871.780000001</v>
      </c>
      <c r="AGW2">
        <v>4776</v>
      </c>
      <c r="AGX2">
        <v>877</v>
      </c>
      <c r="AGY2">
        <v>21434686.82</v>
      </c>
      <c r="AGZ2">
        <v>3299184.96</v>
      </c>
      <c r="AHA2">
        <v>2463</v>
      </c>
      <c r="AHB2">
        <v>2884</v>
      </c>
      <c r="AHC2">
        <v>675</v>
      </c>
      <c r="AHD2">
        <v>38</v>
      </c>
      <c r="AHE2">
        <v>783</v>
      </c>
      <c r="AHF2">
        <v>575</v>
      </c>
      <c r="AHG2">
        <v>653</v>
      </c>
      <c r="AHH2">
        <v>285</v>
      </c>
      <c r="AHI2">
        <v>2364</v>
      </c>
      <c r="AHJ2">
        <v>940</v>
      </c>
      <c r="AHK2">
        <v>53</v>
      </c>
      <c r="AHL2">
        <v>2846</v>
      </c>
      <c r="AHM2">
        <v>514</v>
      </c>
      <c r="AHN2">
        <v>351</v>
      </c>
      <c r="AHO2">
        <v>724</v>
      </c>
      <c r="AHP2">
        <v>825</v>
      </c>
      <c r="AHQ2">
        <v>176</v>
      </c>
      <c r="AHR2">
        <v>393</v>
      </c>
      <c r="AHS2">
        <v>658</v>
      </c>
      <c r="AHT2">
        <v>1117</v>
      </c>
      <c r="AHU2">
        <v>1072</v>
      </c>
      <c r="AHV2">
        <v>1359</v>
      </c>
      <c r="AHW2">
        <v>1117</v>
      </c>
      <c r="AHX2">
        <v>264</v>
      </c>
      <c r="AHY2">
        <v>11201304.1</v>
      </c>
      <c r="AHZ2">
        <v>12264983.949999999</v>
      </c>
      <c r="AIA2">
        <v>1169555.46</v>
      </c>
      <c r="AIB2">
        <v>256026.74</v>
      </c>
      <c r="AIC2">
        <v>3859398.06</v>
      </c>
      <c r="AID2">
        <v>3431780.41</v>
      </c>
      <c r="AIE2">
        <v>4240778.97</v>
      </c>
      <c r="AIF2">
        <v>807472.26</v>
      </c>
      <c r="AIG2">
        <v>7219881.5199999996</v>
      </c>
      <c r="AIH2">
        <v>5071684.43</v>
      </c>
      <c r="AII2">
        <v>102876.13</v>
      </c>
      <c r="AIJ2">
        <v>12501780.859999999</v>
      </c>
      <c r="AIK2">
        <v>2034150.34</v>
      </c>
      <c r="AIL2">
        <v>1189913.6499999999</v>
      </c>
      <c r="AIM2">
        <v>3814852.15</v>
      </c>
      <c r="AIN2">
        <v>3254630.18</v>
      </c>
      <c r="AIO2">
        <v>960449.92</v>
      </c>
      <c r="AIP2">
        <v>1938544.6</v>
      </c>
      <c r="AIQ2">
        <v>1803990.04</v>
      </c>
      <c r="AIR2">
        <v>4256545.8600000003</v>
      </c>
      <c r="AIS2">
        <v>6351130.1699999999</v>
      </c>
      <c r="AIT2">
        <v>7620971.7400000002</v>
      </c>
      <c r="AIU2">
        <v>3941940.95</v>
      </c>
      <c r="AIV2">
        <v>624545.32999999996</v>
      </c>
      <c r="AIW2">
        <v>6038</v>
      </c>
      <c r="AIX2">
        <v>24718005.25</v>
      </c>
      <c r="AIY2">
        <v>20143</v>
      </c>
      <c r="AIZ2">
        <v>8733</v>
      </c>
      <c r="AJA2">
        <v>4731</v>
      </c>
      <c r="AJB2">
        <v>5633</v>
      </c>
      <c r="AJC2">
        <v>24585096.780000001</v>
      </c>
      <c r="AJD2">
        <v>4756</v>
      </c>
      <c r="AJE2">
        <v>877</v>
      </c>
      <c r="AJF2">
        <v>21285911.82</v>
      </c>
      <c r="AJG2">
        <v>3299184.96</v>
      </c>
      <c r="AJH2">
        <v>2453</v>
      </c>
      <c r="AJI2">
        <v>2877</v>
      </c>
      <c r="AJJ2">
        <v>671</v>
      </c>
      <c r="AJK2">
        <v>38</v>
      </c>
      <c r="AJL2">
        <v>777</v>
      </c>
      <c r="AJM2">
        <v>574</v>
      </c>
      <c r="AJN2">
        <v>650</v>
      </c>
      <c r="AJO2">
        <v>284</v>
      </c>
      <c r="AJP2">
        <v>2362</v>
      </c>
      <c r="AJQ2">
        <v>933</v>
      </c>
      <c r="AJR2">
        <v>53</v>
      </c>
      <c r="AJS2">
        <v>2842</v>
      </c>
      <c r="AJT2">
        <v>514</v>
      </c>
      <c r="AJU2">
        <v>347</v>
      </c>
      <c r="AJV2">
        <v>718</v>
      </c>
      <c r="AJW2">
        <v>825</v>
      </c>
      <c r="AJX2">
        <v>173</v>
      </c>
      <c r="AJY2">
        <v>390</v>
      </c>
      <c r="AJZ2">
        <v>654</v>
      </c>
      <c r="AKA2">
        <v>1113</v>
      </c>
      <c r="AKB2">
        <v>1067</v>
      </c>
      <c r="AKC2">
        <v>1354</v>
      </c>
      <c r="AKD2">
        <v>1115</v>
      </c>
      <c r="AKE2">
        <v>264</v>
      </c>
      <c r="AKF2">
        <v>11133209.1</v>
      </c>
      <c r="AKG2">
        <v>12207327.949999999</v>
      </c>
      <c r="AKH2">
        <v>1146531.46</v>
      </c>
      <c r="AKI2">
        <v>256026.74</v>
      </c>
      <c r="AKJ2">
        <v>3806275.06</v>
      </c>
      <c r="AKK2">
        <v>3423780.41</v>
      </c>
      <c r="AKL2">
        <v>4222514.97</v>
      </c>
      <c r="AKM2">
        <v>803002.26</v>
      </c>
      <c r="AKN2">
        <v>7212145.5199999996</v>
      </c>
      <c r="AKO2">
        <v>5014502.43</v>
      </c>
      <c r="AKP2">
        <v>102876.13</v>
      </c>
      <c r="AKQ2">
        <v>12479248.859999999</v>
      </c>
      <c r="AKR2">
        <v>2034150.34</v>
      </c>
      <c r="AKS2">
        <v>1178148.6499999999</v>
      </c>
      <c r="AKT2">
        <v>3768564.15</v>
      </c>
      <c r="AKU2">
        <v>3254630.18</v>
      </c>
      <c r="AKV2">
        <v>935604.92</v>
      </c>
      <c r="AKW2">
        <v>1913699.6</v>
      </c>
      <c r="AKX2">
        <v>1784673.04</v>
      </c>
      <c r="AKY2">
        <v>4234792.8600000003</v>
      </c>
      <c r="AKZ2">
        <v>6312930.1699999999</v>
      </c>
      <c r="ALA2">
        <v>7560004.7400000002</v>
      </c>
      <c r="ALB2">
        <v>3933402.95</v>
      </c>
      <c r="ALC2">
        <v>624545.32999999996</v>
      </c>
      <c r="ALD2">
        <v>5726</v>
      </c>
      <c r="ALE2">
        <v>24030293.440000001</v>
      </c>
      <c r="ALF2">
        <v>18949</v>
      </c>
      <c r="ALG2">
        <v>7053</v>
      </c>
      <c r="ALH2">
        <v>6425</v>
      </c>
      <c r="ALI2">
        <v>5672</v>
      </c>
      <c r="ALJ2">
        <v>24022932.440000001</v>
      </c>
      <c r="ALK2">
        <v>4728</v>
      </c>
      <c r="ALL2">
        <v>944</v>
      </c>
      <c r="ALM2">
        <v>20517021.82</v>
      </c>
      <c r="ALN2">
        <v>3505910.62</v>
      </c>
      <c r="ALO2">
        <v>2302</v>
      </c>
      <c r="ALP2">
        <v>3125</v>
      </c>
      <c r="ALQ2">
        <v>249</v>
      </c>
      <c r="ALR2">
        <v>44</v>
      </c>
      <c r="ALS2">
        <v>789</v>
      </c>
      <c r="ALT2">
        <v>567</v>
      </c>
      <c r="ALU2">
        <v>570</v>
      </c>
      <c r="ALV2">
        <v>363</v>
      </c>
      <c r="ALW2">
        <v>2447</v>
      </c>
      <c r="ALX2">
        <v>899</v>
      </c>
      <c r="ALY2">
        <v>37</v>
      </c>
      <c r="ALZ2">
        <v>2692</v>
      </c>
      <c r="AMA2">
        <v>578</v>
      </c>
      <c r="AMB2">
        <v>378</v>
      </c>
      <c r="AMC2">
        <v>957</v>
      </c>
      <c r="AMD2">
        <v>813</v>
      </c>
      <c r="AME2">
        <v>250</v>
      </c>
      <c r="AMF2">
        <v>250</v>
      </c>
      <c r="AMG2">
        <v>783</v>
      </c>
      <c r="AMH2">
        <v>1121</v>
      </c>
      <c r="AMI2">
        <v>1179</v>
      </c>
      <c r="AMJ2">
        <v>1120</v>
      </c>
      <c r="AMK2">
        <v>1145</v>
      </c>
      <c r="AML2">
        <v>246</v>
      </c>
      <c r="AMM2">
        <v>10091834.85</v>
      </c>
      <c r="AMN2">
        <v>12788475.140000001</v>
      </c>
      <c r="AMO2">
        <v>926980.96</v>
      </c>
      <c r="AMP2">
        <v>228564.1</v>
      </c>
      <c r="AMQ2">
        <v>3935085.51</v>
      </c>
      <c r="AMR2">
        <v>3414042.31</v>
      </c>
      <c r="AMS2">
        <v>3542810.19</v>
      </c>
      <c r="AMT2">
        <v>1013177.55</v>
      </c>
      <c r="AMU2">
        <v>7461838.0600000098</v>
      </c>
      <c r="AMV2">
        <v>4559494.46</v>
      </c>
      <c r="AMW2">
        <v>96484.36</v>
      </c>
      <c r="AMX2">
        <v>11983104.960000001</v>
      </c>
      <c r="AMY2">
        <v>2226991.16</v>
      </c>
      <c r="AMZ2">
        <v>1100189.28</v>
      </c>
      <c r="ANA2">
        <v>4576740.58</v>
      </c>
      <c r="ANB2">
        <v>2952570.14</v>
      </c>
      <c r="ANC2">
        <v>1150157.57</v>
      </c>
      <c r="AND2">
        <v>1150157.57</v>
      </c>
      <c r="ANE2">
        <v>2245899.52</v>
      </c>
      <c r="ANF2">
        <v>4180769.48</v>
      </c>
      <c r="ANG2">
        <v>6566051.6500000004</v>
      </c>
      <c r="ANH2">
        <v>6429758.1100000003</v>
      </c>
      <c r="ANI2">
        <v>3877289.33</v>
      </c>
      <c r="ANJ2">
        <v>581289.86</v>
      </c>
      <c r="ANK2">
        <v>5534</v>
      </c>
      <c r="ANL2">
        <v>22995640.68</v>
      </c>
      <c r="ANM2">
        <v>18307</v>
      </c>
      <c r="ANN2">
        <v>6694</v>
      </c>
      <c r="ANO2">
        <v>6260</v>
      </c>
      <c r="ANP2">
        <v>5480</v>
      </c>
      <c r="ANQ2">
        <v>22988279.68</v>
      </c>
      <c r="ANR2">
        <v>4544</v>
      </c>
      <c r="ANS2">
        <v>936</v>
      </c>
      <c r="ANT2">
        <v>19518989.059999999</v>
      </c>
      <c r="ANU2">
        <v>3469290.62</v>
      </c>
      <c r="ANV2">
        <v>2175</v>
      </c>
      <c r="ANW2">
        <v>3067</v>
      </c>
      <c r="ANX2">
        <v>242</v>
      </c>
      <c r="ANY2">
        <v>44</v>
      </c>
      <c r="ANZ2">
        <v>761</v>
      </c>
      <c r="AOA2">
        <v>546</v>
      </c>
      <c r="AOB2">
        <v>563</v>
      </c>
      <c r="AOC2">
        <v>357</v>
      </c>
      <c r="AOD2">
        <v>2351</v>
      </c>
      <c r="AOE2">
        <v>866</v>
      </c>
      <c r="AOF2">
        <v>36</v>
      </c>
      <c r="AOG2">
        <v>2537</v>
      </c>
      <c r="AOH2">
        <v>570</v>
      </c>
      <c r="AOI2">
        <v>372</v>
      </c>
      <c r="AOJ2">
        <v>936</v>
      </c>
      <c r="AOK2">
        <v>813</v>
      </c>
      <c r="AOL2">
        <v>248</v>
      </c>
      <c r="AOM2">
        <v>248</v>
      </c>
      <c r="AON2">
        <v>740</v>
      </c>
      <c r="AOO2">
        <v>1039</v>
      </c>
      <c r="AOP2">
        <v>1151</v>
      </c>
      <c r="AOQ2">
        <v>1107</v>
      </c>
      <c r="AOR2">
        <v>1120</v>
      </c>
      <c r="AOS2">
        <v>246</v>
      </c>
      <c r="AOT2">
        <v>9393668.8400000092</v>
      </c>
      <c r="AOU2">
        <v>12496076.35</v>
      </c>
      <c r="AOV2">
        <v>882893</v>
      </c>
      <c r="AOW2">
        <v>228564.1</v>
      </c>
      <c r="AOX2">
        <v>3737348.39</v>
      </c>
      <c r="AOY2">
        <v>3281944.26</v>
      </c>
      <c r="AOZ2">
        <v>3492479.27</v>
      </c>
      <c r="APA2">
        <v>993402.55</v>
      </c>
      <c r="APB2">
        <v>7016565.6700000102</v>
      </c>
      <c r="APC2">
        <v>4373515.18</v>
      </c>
      <c r="APD2">
        <v>93024.36</v>
      </c>
      <c r="APE2">
        <v>11129989.6</v>
      </c>
      <c r="APF2">
        <v>2194061.7599999998</v>
      </c>
      <c r="APG2">
        <v>1081336.28</v>
      </c>
      <c r="APH2">
        <v>4466885.58</v>
      </c>
      <c r="API2">
        <v>2952570.14</v>
      </c>
      <c r="APJ2">
        <v>1130257.57</v>
      </c>
      <c r="APK2">
        <v>1130257.57</v>
      </c>
      <c r="APL2">
        <v>2076050.61</v>
      </c>
      <c r="APM2">
        <v>3744459.48</v>
      </c>
      <c r="APN2">
        <v>6342916.5199999996</v>
      </c>
      <c r="APO2">
        <v>6340839.1100000003</v>
      </c>
      <c r="APP2">
        <v>3762510.61</v>
      </c>
      <c r="APQ2">
        <v>581289.86</v>
      </c>
      <c r="APR2">
        <v>2172</v>
      </c>
      <c r="APS2">
        <v>175</v>
      </c>
      <c r="APT2">
        <v>2172</v>
      </c>
      <c r="APU2">
        <v>121</v>
      </c>
      <c r="APV2">
        <v>2551</v>
      </c>
      <c r="APW2">
        <v>172</v>
      </c>
      <c r="APX2">
        <v>2551</v>
      </c>
      <c r="APY2">
        <v>132</v>
      </c>
      <c r="APZ2">
        <v>273</v>
      </c>
      <c r="AQA2">
        <v>82</v>
      </c>
      <c r="AQB2">
        <v>273</v>
      </c>
      <c r="AQC2">
        <v>50</v>
      </c>
      <c r="AQD2">
        <v>6020</v>
      </c>
      <c r="AQE2">
        <v>438</v>
      </c>
      <c r="AQF2">
        <v>6020</v>
      </c>
      <c r="AQG2">
        <v>320</v>
      </c>
      <c r="AQH2">
        <v>757</v>
      </c>
      <c r="AQI2">
        <v>252</v>
      </c>
      <c r="AQJ2">
        <v>757</v>
      </c>
      <c r="AQK2">
        <v>168</v>
      </c>
      <c r="AQL2">
        <v>45785</v>
      </c>
      <c r="AQM2">
        <v>5605</v>
      </c>
      <c r="AQN2">
        <v>45785</v>
      </c>
      <c r="AQO2">
        <v>4785</v>
      </c>
      <c r="AQP2">
        <v>13939</v>
      </c>
      <c r="AQQ2">
        <v>4450</v>
      </c>
      <c r="AQR2">
        <v>13939</v>
      </c>
      <c r="AQS2">
        <v>3999</v>
      </c>
      <c r="AQT2">
        <v>13</v>
      </c>
      <c r="AQU2">
        <v>49</v>
      </c>
      <c r="AQV2">
        <v>208251</v>
      </c>
      <c r="AQW2">
        <v>13</v>
      </c>
      <c r="AQX2">
        <v>8</v>
      </c>
      <c r="AQY2">
        <v>15388</v>
      </c>
      <c r="AQZ2">
        <v>9</v>
      </c>
      <c r="ARA2">
        <v>33</v>
      </c>
      <c r="ARB2">
        <v>161430</v>
      </c>
      <c r="ARC2">
        <v>9</v>
      </c>
      <c r="ARD2">
        <v>3</v>
      </c>
      <c r="ARE2">
        <v>4187</v>
      </c>
      <c r="ARF2">
        <v>6</v>
      </c>
      <c r="ARG2">
        <v>0</v>
      </c>
      <c r="ARH2">
        <v>0</v>
      </c>
      <c r="ARI2">
        <v>6</v>
      </c>
      <c r="ARJ2">
        <v>0</v>
      </c>
      <c r="ARK2">
        <v>0</v>
      </c>
      <c r="ARL2">
        <v>28</v>
      </c>
      <c r="ARM2">
        <v>115</v>
      </c>
      <c r="ARN2">
        <v>518767</v>
      </c>
      <c r="ARO2">
        <v>28</v>
      </c>
      <c r="ARP2">
        <v>22</v>
      </c>
      <c r="ARQ2">
        <v>39197</v>
      </c>
      <c r="ARR2">
        <v>25</v>
      </c>
      <c r="ARS2">
        <v>0</v>
      </c>
      <c r="ART2">
        <v>0</v>
      </c>
      <c r="ARU2">
        <v>25</v>
      </c>
      <c r="ARV2">
        <v>0</v>
      </c>
      <c r="ARW2">
        <v>0</v>
      </c>
      <c r="ARX2">
        <v>771</v>
      </c>
      <c r="ARY2">
        <v>511</v>
      </c>
      <c r="ARZ2">
        <v>2556863</v>
      </c>
      <c r="ASA2">
        <v>771</v>
      </c>
      <c r="ASB2">
        <v>27</v>
      </c>
      <c r="ASC2">
        <v>41651</v>
      </c>
      <c r="ASD2">
        <v>566</v>
      </c>
      <c r="ASE2">
        <v>1</v>
      </c>
      <c r="ASF2">
        <v>0</v>
      </c>
      <c r="ASG2">
        <v>566</v>
      </c>
      <c r="ASH2">
        <v>1</v>
      </c>
      <c r="ASI2">
        <v>0</v>
      </c>
      <c r="ASJ2">
        <v>874</v>
      </c>
      <c r="ASK2">
        <v>441.41692575570301</v>
      </c>
      <c r="ASL2">
        <v>131.080091839418</v>
      </c>
      <c r="ASM2">
        <v>1.0444444444444401</v>
      </c>
      <c r="ASN2">
        <v>34.114415160003396</v>
      </c>
      <c r="ASO2">
        <v>0</v>
      </c>
      <c r="ASP2">
        <v>41.598148148148098</v>
      </c>
      <c r="ASQ2">
        <v>205.12874281005099</v>
      </c>
      <c r="ASR2">
        <v>17.617231842231799</v>
      </c>
      <c r="ASS2">
        <v>2</v>
      </c>
      <c r="AST2">
        <v>684</v>
      </c>
      <c r="ASU2">
        <v>368.31302716891003</v>
      </c>
      <c r="ASV2">
        <v>92.103008980756698</v>
      </c>
      <c r="ASW2">
        <v>1.0444444444444401</v>
      </c>
      <c r="ASX2">
        <v>26.777510398098599</v>
      </c>
      <c r="ASY2">
        <v>0</v>
      </c>
      <c r="ASZ2">
        <v>34.637037037036997</v>
      </c>
      <c r="ATA2">
        <v>147.912502033284</v>
      </c>
      <c r="ATB2">
        <v>13.2124699374699</v>
      </c>
      <c r="ATC2">
        <v>0</v>
      </c>
      <c r="ATD2">
        <v>1169</v>
      </c>
      <c r="ATE2">
        <v>541.65560804452195</v>
      </c>
      <c r="ATF2">
        <v>159.68449150345501</v>
      </c>
      <c r="ATG2">
        <v>3.3511494252873599</v>
      </c>
      <c r="ATH2">
        <v>19.248644780822801</v>
      </c>
      <c r="ATI2">
        <v>0</v>
      </c>
      <c r="ATJ2">
        <v>69.224600345188605</v>
      </c>
      <c r="ATK2">
        <v>359.16277947032199</v>
      </c>
      <c r="ATL2">
        <v>16.339393097069099</v>
      </c>
      <c r="ATM2">
        <v>0.33333333333333298</v>
      </c>
      <c r="ATN2">
        <v>910</v>
      </c>
      <c r="ATO2">
        <v>424.62445122516698</v>
      </c>
      <c r="ATP2">
        <v>107.495838638843</v>
      </c>
      <c r="ATQ2">
        <v>2.2678160919540198</v>
      </c>
      <c r="ATR2">
        <v>14.9889045210825</v>
      </c>
      <c r="ATS2">
        <v>0</v>
      </c>
      <c r="ATT2">
        <v>66.455119825708096</v>
      </c>
      <c r="ATU2">
        <v>281.05633509770098</v>
      </c>
      <c r="ATV2">
        <v>12.7782012662111</v>
      </c>
      <c r="ATW2">
        <v>0.33333333333333298</v>
      </c>
      <c r="ATX2">
        <v>689</v>
      </c>
      <c r="ATY2">
        <v>334.48613738766102</v>
      </c>
      <c r="ATZ2">
        <v>96.007595260665695</v>
      </c>
      <c r="AUA2">
        <v>1.3551495016611299</v>
      </c>
      <c r="AUB2">
        <v>9.9047165025277195</v>
      </c>
      <c r="AUC2">
        <v>0</v>
      </c>
      <c r="AUD2">
        <v>49.582142857142799</v>
      </c>
      <c r="AUE2">
        <v>193.61447505305901</v>
      </c>
      <c r="AUF2">
        <v>4.0497834372834403</v>
      </c>
      <c r="AUG2">
        <v>0</v>
      </c>
      <c r="AUH2">
        <v>562</v>
      </c>
      <c r="AUI2">
        <v>287.58191236431799</v>
      </c>
      <c r="AUJ2">
        <v>68.083202170096101</v>
      </c>
      <c r="AUK2">
        <v>1.3551495016611299</v>
      </c>
      <c r="AUL2">
        <v>7.5171348031813103</v>
      </c>
      <c r="AUM2">
        <v>0</v>
      </c>
      <c r="AUN2">
        <v>43.998809523809499</v>
      </c>
      <c r="AUO2">
        <v>151.830674866317</v>
      </c>
      <c r="AUP2">
        <v>1.63311677061677</v>
      </c>
      <c r="AUQ2">
        <v>0</v>
      </c>
      <c r="AUR2">
        <v>2418</v>
      </c>
      <c r="AUS2">
        <v>1158.9656199538399</v>
      </c>
      <c r="AUT2">
        <v>356.758434155803</v>
      </c>
      <c r="AUU2">
        <v>5.5622605363984698</v>
      </c>
      <c r="AUV2">
        <v>57.523413476179698</v>
      </c>
      <c r="AUW2">
        <v>0</v>
      </c>
      <c r="AUX2">
        <v>128.547748493337</v>
      </c>
      <c r="AUY2">
        <v>669.15330494215596</v>
      </c>
      <c r="AUZ2">
        <v>39.1558851089558</v>
      </c>
      <c r="AVA2">
        <v>2.3333333333333299</v>
      </c>
      <c r="AVB2">
        <v>1864</v>
      </c>
      <c r="AVC2">
        <v>930.59346611980095</v>
      </c>
      <c r="AVD2">
        <v>242.00067671156</v>
      </c>
      <c r="AVE2">
        <v>3.4789272030651301</v>
      </c>
      <c r="AVF2">
        <v>43.502526030292302</v>
      </c>
      <c r="AVG2">
        <v>0</v>
      </c>
      <c r="AVH2">
        <v>115.45049019607799</v>
      </c>
      <c r="AVI2">
        <v>498.19450868165598</v>
      </c>
      <c r="AVJ2">
        <v>30.446071724213098</v>
      </c>
      <c r="AVK2">
        <v>0.33333333333333298</v>
      </c>
      <c r="AVL2">
        <v>2358</v>
      </c>
      <c r="AVM2">
        <v>1206.9722889377199</v>
      </c>
      <c r="AVN2">
        <v>299.19334589036202</v>
      </c>
      <c r="AVO2">
        <v>4.6236680201796503</v>
      </c>
      <c r="AVP2">
        <v>37.467246074405097</v>
      </c>
      <c r="AVQ2">
        <v>0</v>
      </c>
      <c r="AVR2">
        <v>151.914613572702</v>
      </c>
      <c r="AVS2">
        <v>639.859372920032</v>
      </c>
      <c r="AVT2">
        <v>17.969464584596199</v>
      </c>
      <c r="AVU2">
        <v>0</v>
      </c>
      <c r="AVV2">
        <v>1958</v>
      </c>
      <c r="AVW2">
        <v>1050.3415781702699</v>
      </c>
      <c r="AVX2">
        <v>214.99113954706499</v>
      </c>
      <c r="AVY2">
        <v>3.6236680201796498</v>
      </c>
      <c r="AVZ2">
        <v>30.074391930112402</v>
      </c>
      <c r="AWA2">
        <v>0</v>
      </c>
      <c r="AWB2">
        <v>138.09751400560199</v>
      </c>
      <c r="AWC2">
        <v>508.41678008302199</v>
      </c>
      <c r="AWD2">
        <v>12.454928243744</v>
      </c>
      <c r="AWE2">
        <v>0</v>
      </c>
      <c r="AWF2">
        <v>25070</v>
      </c>
      <c r="AWG2">
        <v>11609.1719099702</v>
      </c>
      <c r="AWH2">
        <v>3971.6256514914098</v>
      </c>
      <c r="AWI2">
        <v>215.74216666955499</v>
      </c>
      <c r="AWJ2">
        <v>905.068894933519</v>
      </c>
      <c r="AWK2">
        <v>0</v>
      </c>
      <c r="AWL2">
        <v>1507.99478089063</v>
      </c>
      <c r="AWM2">
        <v>6313.8198122234398</v>
      </c>
      <c r="AWN2">
        <v>367.94628669606999</v>
      </c>
      <c r="AWO2">
        <v>178.630497125137</v>
      </c>
      <c r="AWP2">
        <v>19093</v>
      </c>
      <c r="AWQ2">
        <v>9299.1847254804397</v>
      </c>
      <c r="AWR2">
        <v>2738.3533124536398</v>
      </c>
      <c r="AWS2">
        <v>119.65975489889</v>
      </c>
      <c r="AWT2">
        <v>743.53760059777096</v>
      </c>
      <c r="AWU2">
        <v>0</v>
      </c>
      <c r="AWV2">
        <v>1361.6066522875799</v>
      </c>
      <c r="AWW2">
        <v>4553.6006591510104</v>
      </c>
      <c r="AWX2">
        <v>268.79062846400097</v>
      </c>
      <c r="AWY2">
        <v>8.2666666666666693</v>
      </c>
      <c r="AWZ2">
        <v>28614</v>
      </c>
      <c r="AXA2">
        <v>13052.8678047126</v>
      </c>
      <c r="AXB2">
        <v>4252.9176741296596</v>
      </c>
      <c r="AXC2">
        <v>45.014439079752897</v>
      </c>
      <c r="AXD2">
        <v>722.813189035905</v>
      </c>
      <c r="AXE2">
        <v>0</v>
      </c>
      <c r="AXF2">
        <v>1827.4386807170099</v>
      </c>
      <c r="AXG2">
        <v>8470.9869037238495</v>
      </c>
      <c r="AXH2">
        <v>237.79464193450499</v>
      </c>
      <c r="AXI2">
        <v>4.1666666666666696</v>
      </c>
      <c r="AXJ2">
        <v>22702</v>
      </c>
      <c r="AXK2">
        <v>10969.085815030199</v>
      </c>
      <c r="AXL2">
        <v>3066.1173523468701</v>
      </c>
      <c r="AXM2">
        <v>28.330672845986701</v>
      </c>
      <c r="AXN2">
        <v>545.43021999685004</v>
      </c>
      <c r="AXO2">
        <v>0</v>
      </c>
      <c r="AXP2">
        <v>1631.51743754739</v>
      </c>
      <c r="AXQ2">
        <v>6259.0373523616699</v>
      </c>
      <c r="AXR2">
        <v>199.314483204346</v>
      </c>
      <c r="AXS2">
        <v>3.1666666666666701</v>
      </c>
      <c r="AXT2">
        <v>27767</v>
      </c>
      <c r="AXU2">
        <v>10826</v>
      </c>
      <c r="AXV2">
        <v>6574</v>
      </c>
      <c r="AXW2">
        <v>3565</v>
      </c>
      <c r="AXX2">
        <v>7822.3408380000001</v>
      </c>
      <c r="AXY2">
        <v>26141</v>
      </c>
      <c r="AXZ2">
        <v>13366</v>
      </c>
      <c r="AYA2">
        <v>7680</v>
      </c>
      <c r="AYB2">
        <v>1167</v>
      </c>
      <c r="AYC2">
        <v>8097.5315609999998</v>
      </c>
      <c r="AYD2">
        <v>20859</v>
      </c>
      <c r="AYE2">
        <v>9566</v>
      </c>
      <c r="AYF2">
        <v>6579</v>
      </c>
      <c r="AYG2">
        <v>1074</v>
      </c>
      <c r="AYH2">
        <v>6455.33</v>
      </c>
      <c r="AYI2">
        <v>62707</v>
      </c>
      <c r="AYJ2">
        <v>29615</v>
      </c>
      <c r="AYK2">
        <v>16898</v>
      </c>
      <c r="AYL2">
        <v>4911</v>
      </c>
      <c r="AYM2">
        <v>20404.493880000002</v>
      </c>
      <c r="AYN2">
        <v>50953</v>
      </c>
      <c r="AYO2">
        <v>25132</v>
      </c>
      <c r="AYP2">
        <v>16346</v>
      </c>
      <c r="AYQ2">
        <v>1526</v>
      </c>
      <c r="AYR2">
        <v>18281.21</v>
      </c>
      <c r="AYS2">
        <v>686126</v>
      </c>
      <c r="AYT2">
        <v>354214</v>
      </c>
      <c r="AYU2">
        <v>178557</v>
      </c>
      <c r="AYV2">
        <v>34605</v>
      </c>
      <c r="AYW2">
        <v>453775.61804199999</v>
      </c>
      <c r="AYX2">
        <v>657960</v>
      </c>
      <c r="AYY2">
        <v>377570</v>
      </c>
      <c r="AYZ2">
        <v>156660</v>
      </c>
      <c r="AZA2">
        <v>30454</v>
      </c>
      <c r="AZB2">
        <v>417786.25232799997</v>
      </c>
    </row>
  </sheetData>
  <conditionalFormatting sqref="A3:XFD5">
    <cfRule type="duplicateValues" dxfId="0" priority="1"/>
  </conditionalFormatting>
  <pageMargins left="0.7" right="0.7" top="0.75" bottom="0.75" header="0.3" footer="0.3"/>
  <pageSetup paperSize="9" orientation="portrait" horizontalDpi="300" verticalDpi="30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EBFF2F48E30C643960A88AB9AA161DF" ma:contentTypeVersion="2" ma:contentTypeDescription="Create a new document." ma:contentTypeScope="" ma:versionID="07eb78324a2e46ed21a3b7672cfc1a5b">
  <xsd:schema xmlns:xsd="http://www.w3.org/2001/XMLSchema" xmlns:xs="http://www.w3.org/2001/XMLSchema" xmlns:p="http://schemas.microsoft.com/office/2006/metadata/properties" xmlns:ns2="4aeb46e8-bb39-447e-847f-83bc36b9ebf7" targetNamespace="http://schemas.microsoft.com/office/2006/metadata/properties" ma:root="true" ma:fieldsID="2dda3abfbd6dbe0bf0c9d47f5a791892" ns2:_="">
    <xsd:import namespace="4aeb46e8-bb39-447e-847f-83bc36b9ebf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eb46e8-bb39-447e-847f-83bc36b9ebf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877D2C7A-B0EE-4C5C-8D04-E7C89220C12C}">
  <ds:schemaRefs>
    <ds:schemaRef ds:uri="http://www.w3.org/XML/1998/namespace"/>
    <ds:schemaRef ds:uri="http://purl.org/dc/terms/"/>
    <ds:schemaRef ds:uri="http://purl.org/dc/dcmitype/"/>
    <ds:schemaRef ds:uri="4aeb46e8-bb39-447e-847f-83bc36b9ebf7"/>
    <ds:schemaRef ds:uri="http://schemas.microsoft.com/office/2006/metadata/properties"/>
    <ds:schemaRef ds:uri="http://schemas.microsoft.com/office/2006/documentManagement/types"/>
    <ds:schemaRef ds:uri="http://schemas.openxmlformats.org/package/2006/metadata/core-properties"/>
    <ds:schemaRef ds:uri="http://schemas.microsoft.com/office/infopath/2007/PartnerControls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48F7F836-DFEA-41AD-A140-601879EDECB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24962CC-11A2-44F3-B3FB-254A7912F71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aeb46e8-bb39-447e-847f-83bc36b9ebf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0696D637-E096-49B4-BCDC-EAE3FBD001AC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Euan Mackenzie</dc:creator>
  <cp:lastModifiedBy>Euan Mackenzie</cp:lastModifiedBy>
  <dcterms:created xsi:type="dcterms:W3CDTF">2019-06-28T14:48:32Z</dcterms:created>
  <dcterms:modified xsi:type="dcterms:W3CDTF">2019-08-28T12:53:12Z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0x010100BEBFF2F48E30C643960A88AB9AA161DF</vt:lpwstr>
  </property>
</Properties>
</file>