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06"/>
  <workbookPr codeName="ThisWorkbook" defaultThemeVersion="166925"/>
  <mc:AlternateContent xmlns:mc="http://schemas.openxmlformats.org/markup-compatibility/2006">
    <mc:Choice Requires="x15">
      <x15ac:absPath xmlns:x15ac="http://schemas.microsoft.com/office/spreadsheetml/2010/11/ac" url="V:\Shared Documents\ScoreCard\Master\"/>
    </mc:Choice>
  </mc:AlternateContent>
  <xr:revisionPtr revIDLastSave="105" documentId="11_A2129E11930EF0F6B421838C9CB033819AF05E89" xr6:coauthVersionLast="45" xr6:coauthVersionMax="45" xr10:uidLastSave="{0EA86A43-2744-4BD3-9542-18CED487D54D}"/>
  <bookViews>
    <workbookView xWindow="-120" yWindow="-120" windowWidth="29040" windowHeight="15840" activeTab="1" xr2:uid="{00000000-000D-0000-FFFF-FFFF00000000}"/>
  </bookViews>
  <sheets>
    <sheet name="Sheet1" sheetId="1" r:id="rId1"/>
    <sheet name="Sheet2" sheetId="2" r:id="rId2"/>
    <sheet name="Sheet3" sheetId="3" r:id="rId3"/>
  </sheets>
  <calcPr calcId="191028" calcCompleted="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 i="1" l="1"/>
  <c r="C4" i="1"/>
  <c r="O2" i="3" l="1"/>
  <c r="N2" i="3"/>
  <c r="M2" i="3"/>
  <c r="L2" i="3"/>
  <c r="K2" i="3"/>
  <c r="K3" i="3" s="1"/>
  <c r="F10" i="1" s="1"/>
  <c r="J2" i="3"/>
  <c r="J3" i="3" s="1"/>
  <c r="D10" i="1" s="1"/>
  <c r="I2" i="3"/>
  <c r="I3" i="3" s="1"/>
  <c r="C10" i="1" s="1"/>
  <c r="H2" i="3"/>
  <c r="F2" i="3" s="1"/>
  <c r="E3" i="3"/>
  <c r="E4" i="3"/>
  <c r="E6" i="3"/>
  <c r="E7" i="3"/>
  <c r="E8" i="3"/>
  <c r="E9" i="3"/>
  <c r="E11" i="3"/>
  <c r="E12" i="3"/>
  <c r="E14" i="3"/>
  <c r="E15" i="3"/>
  <c r="E16" i="3"/>
  <c r="E17" i="3"/>
  <c r="E19" i="3"/>
  <c r="E20" i="3"/>
  <c r="E22" i="3"/>
  <c r="E23" i="3"/>
  <c r="E24" i="3"/>
  <c r="E25" i="3"/>
  <c r="E27" i="3"/>
  <c r="E28" i="3"/>
  <c r="E30" i="3"/>
  <c r="E31" i="3"/>
  <c r="E32" i="3"/>
  <c r="E33" i="3"/>
  <c r="E35" i="3"/>
  <c r="E36" i="3"/>
  <c r="E38" i="3"/>
  <c r="E39" i="3"/>
  <c r="E40" i="3"/>
  <c r="E41" i="3"/>
  <c r="E43" i="3"/>
  <c r="E44" i="3"/>
  <c r="E46" i="3"/>
  <c r="E47" i="3"/>
  <c r="E48" i="3"/>
  <c r="E49" i="3"/>
  <c r="E51" i="3"/>
  <c r="E52" i="3"/>
  <c r="E54" i="3"/>
  <c r="E55" i="3"/>
  <c r="E56" i="3"/>
  <c r="E57" i="3"/>
  <c r="E59" i="3"/>
  <c r="E60" i="3"/>
  <c r="E62" i="3"/>
  <c r="E63" i="3"/>
  <c r="E64" i="3"/>
  <c r="E65" i="3"/>
  <c r="E67" i="3"/>
  <c r="E68" i="3"/>
  <c r="E70" i="3"/>
  <c r="E71" i="3"/>
  <c r="E72" i="3"/>
  <c r="E73" i="3"/>
  <c r="E75" i="3"/>
  <c r="E76" i="3"/>
  <c r="E78" i="3"/>
  <c r="E79" i="3"/>
  <c r="E80" i="3"/>
  <c r="E81" i="3"/>
  <c r="E83" i="3"/>
  <c r="E84" i="3"/>
  <c r="E86" i="3"/>
  <c r="E87" i="3"/>
  <c r="E88" i="3"/>
  <c r="E89" i="3"/>
  <c r="E91" i="3"/>
  <c r="E92" i="3"/>
  <c r="E94" i="3"/>
  <c r="E95" i="3"/>
  <c r="E96" i="3"/>
  <c r="E97" i="3"/>
  <c r="E99" i="3"/>
  <c r="E100" i="3"/>
  <c r="E102" i="3"/>
  <c r="E103" i="3"/>
  <c r="E104" i="3"/>
  <c r="E105" i="3"/>
  <c r="E107" i="3"/>
  <c r="E108" i="3"/>
  <c r="E110" i="3"/>
  <c r="E111" i="3"/>
  <c r="E112" i="3"/>
  <c r="E113" i="3"/>
  <c r="E115" i="3"/>
  <c r="E116" i="3"/>
  <c r="E118" i="3"/>
  <c r="E119" i="3"/>
  <c r="E120" i="3"/>
  <c r="E121" i="3"/>
  <c r="E123" i="3"/>
  <c r="E124" i="3"/>
  <c r="E126" i="3"/>
  <c r="E127" i="3"/>
  <c r="E128" i="3"/>
  <c r="E129" i="3"/>
  <c r="E131" i="3"/>
  <c r="E132" i="3"/>
  <c r="E134" i="3"/>
  <c r="E135" i="3"/>
  <c r="E136" i="3"/>
  <c r="E137" i="3"/>
  <c r="E139" i="3"/>
  <c r="E140" i="3"/>
  <c r="E142" i="3"/>
  <c r="E143" i="3"/>
  <c r="E144" i="3"/>
  <c r="E145" i="3"/>
  <c r="E147" i="3"/>
  <c r="E148" i="3"/>
  <c r="E150" i="3"/>
  <c r="E151" i="3"/>
  <c r="E152" i="3"/>
  <c r="E153" i="3"/>
  <c r="E155" i="3"/>
  <c r="E156" i="3"/>
  <c r="E158" i="3"/>
  <c r="E159" i="3"/>
  <c r="E160" i="3"/>
  <c r="E161" i="3"/>
  <c r="E163" i="3"/>
  <c r="E164" i="3"/>
  <c r="E166" i="3"/>
  <c r="E167" i="3"/>
  <c r="E168" i="3"/>
  <c r="E169" i="3"/>
  <c r="E171" i="3"/>
  <c r="E172" i="3"/>
  <c r="E174" i="3"/>
  <c r="E175" i="3"/>
  <c r="E176" i="3"/>
  <c r="E177" i="3"/>
  <c r="E179" i="3"/>
  <c r="E180" i="3"/>
  <c r="E182" i="3"/>
  <c r="E183" i="3"/>
  <c r="E184" i="3"/>
  <c r="E185" i="3"/>
  <c r="E187" i="3"/>
  <c r="E188" i="3"/>
  <c r="E190" i="3"/>
  <c r="E191" i="3"/>
  <c r="E192" i="3"/>
  <c r="E193" i="3"/>
  <c r="E195" i="3"/>
  <c r="E196" i="3"/>
  <c r="E198" i="3"/>
  <c r="E199" i="3"/>
  <c r="E200" i="3"/>
  <c r="E201" i="3"/>
  <c r="E203" i="3"/>
  <c r="E204" i="3"/>
  <c r="E206" i="3"/>
  <c r="E207" i="3"/>
  <c r="E208" i="3"/>
  <c r="E209" i="3"/>
  <c r="E211" i="3"/>
  <c r="E212" i="3"/>
  <c r="E214" i="3"/>
  <c r="E215" i="3"/>
  <c r="E216" i="3"/>
  <c r="E217" i="3"/>
  <c r="E219" i="3"/>
  <c r="E220" i="3"/>
  <c r="E222" i="3"/>
  <c r="E223" i="3"/>
  <c r="E224" i="3"/>
  <c r="E225" i="3"/>
  <c r="E227" i="3"/>
  <c r="E228" i="3"/>
  <c r="E230" i="3"/>
  <c r="E231" i="3"/>
  <c r="E232" i="3"/>
  <c r="E233" i="3"/>
  <c r="E235" i="3"/>
  <c r="E236" i="3"/>
  <c r="E238" i="3"/>
  <c r="E239" i="3"/>
  <c r="E240" i="3"/>
  <c r="E241" i="3"/>
  <c r="E243" i="3"/>
  <c r="E244" i="3"/>
  <c r="E246" i="3"/>
  <c r="E247" i="3"/>
  <c r="E248" i="3"/>
  <c r="E249" i="3"/>
  <c r="E251" i="3"/>
  <c r="E252" i="3"/>
  <c r="E254" i="3"/>
  <c r="E255" i="3"/>
  <c r="E256" i="3"/>
  <c r="E257" i="3"/>
  <c r="E259" i="3"/>
  <c r="E260" i="3"/>
  <c r="E262" i="3"/>
  <c r="E263" i="3"/>
  <c r="E264" i="3"/>
  <c r="E265" i="3"/>
  <c r="E267" i="3"/>
  <c r="E268"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1002" i="3"/>
  <c r="E1003" i="3"/>
  <c r="E1004" i="3"/>
  <c r="E1005" i="3"/>
  <c r="E1006" i="3"/>
  <c r="E1007" i="3"/>
  <c r="E1008" i="3"/>
  <c r="E1009" i="3"/>
  <c r="E1010" i="3"/>
  <c r="E1011" i="3"/>
  <c r="E1012" i="3"/>
  <c r="E1013" i="3"/>
  <c r="E1014" i="3"/>
  <c r="E1015" i="3"/>
  <c r="E1016" i="3"/>
  <c r="E1017" i="3"/>
  <c r="E1018" i="3"/>
  <c r="E1019" i="3"/>
  <c r="E1020" i="3"/>
  <c r="E1021" i="3"/>
  <c r="E1022" i="3"/>
  <c r="E1023" i="3"/>
  <c r="E1024" i="3"/>
  <c r="E1025" i="3"/>
  <c r="E1026" i="3"/>
  <c r="E1027" i="3"/>
  <c r="E1028" i="3"/>
  <c r="E1029" i="3"/>
  <c r="E1030" i="3"/>
  <c r="E1031" i="3"/>
  <c r="E1032" i="3"/>
  <c r="E1033" i="3"/>
  <c r="E1034" i="3"/>
  <c r="E1035" i="3"/>
  <c r="E1036" i="3"/>
  <c r="E1037" i="3"/>
  <c r="E1038" i="3"/>
  <c r="E1039" i="3"/>
  <c r="E1040" i="3"/>
  <c r="E1041" i="3"/>
  <c r="E1042" i="3"/>
  <c r="E1043" i="3"/>
  <c r="E1044" i="3"/>
  <c r="E1045" i="3"/>
  <c r="E1046" i="3"/>
  <c r="E1047" i="3"/>
  <c r="E1048" i="3"/>
  <c r="E1049" i="3"/>
  <c r="E1050" i="3"/>
  <c r="E1051" i="3"/>
  <c r="E1052" i="3"/>
  <c r="E1053" i="3"/>
  <c r="E1054" i="3"/>
  <c r="E1055" i="3"/>
  <c r="E1056" i="3"/>
  <c r="E1057" i="3"/>
  <c r="E1058" i="3"/>
  <c r="E1059" i="3"/>
  <c r="E1060" i="3"/>
  <c r="E1061" i="3"/>
  <c r="E1062" i="3"/>
  <c r="E1063" i="3"/>
  <c r="E1064" i="3"/>
  <c r="E1065" i="3"/>
  <c r="E1066" i="3"/>
  <c r="E1067" i="3"/>
  <c r="E1068" i="3"/>
  <c r="E1069" i="3"/>
  <c r="E1070" i="3"/>
  <c r="E1071" i="3"/>
  <c r="E1072" i="3"/>
  <c r="E1073" i="3"/>
  <c r="E1074" i="3"/>
  <c r="E1075" i="3"/>
  <c r="E1076" i="3"/>
  <c r="E1077" i="3"/>
  <c r="E1078" i="3"/>
  <c r="E1079" i="3"/>
  <c r="E1080" i="3"/>
  <c r="E1081" i="3"/>
  <c r="E1082" i="3"/>
  <c r="E1083" i="3"/>
  <c r="E1084" i="3"/>
  <c r="E1085" i="3"/>
  <c r="E1086" i="3"/>
  <c r="E1087" i="3"/>
  <c r="E1088" i="3"/>
  <c r="E1089" i="3"/>
  <c r="E1090" i="3"/>
  <c r="E1091" i="3"/>
  <c r="E1092" i="3"/>
  <c r="E1093" i="3"/>
  <c r="E1094" i="3"/>
  <c r="E1095" i="3"/>
  <c r="E1096" i="3"/>
  <c r="E1097" i="3"/>
  <c r="E1098" i="3"/>
  <c r="E1099" i="3"/>
  <c r="E1100" i="3"/>
  <c r="E1101" i="3"/>
  <c r="E1102" i="3"/>
  <c r="E1103" i="3"/>
  <c r="E1104" i="3"/>
  <c r="E1105" i="3"/>
  <c r="E1106" i="3"/>
  <c r="E1107" i="3"/>
  <c r="E1108" i="3"/>
  <c r="E1109" i="3"/>
  <c r="E1110" i="3"/>
  <c r="E1111" i="3"/>
  <c r="E1112" i="3"/>
  <c r="E1113" i="3"/>
  <c r="E1114" i="3"/>
  <c r="E1115" i="3"/>
  <c r="E1116" i="3"/>
  <c r="E1117" i="3"/>
  <c r="E1118" i="3"/>
  <c r="E1119" i="3"/>
  <c r="E1120" i="3"/>
  <c r="E1121" i="3"/>
  <c r="E1122" i="3"/>
  <c r="E1123" i="3"/>
  <c r="E1124" i="3"/>
  <c r="E1125" i="3"/>
  <c r="E1126" i="3"/>
  <c r="E1127" i="3"/>
  <c r="E1128" i="3"/>
  <c r="E1129" i="3"/>
  <c r="E1130" i="3"/>
  <c r="E1131" i="3"/>
  <c r="E1132" i="3"/>
  <c r="E1133" i="3"/>
  <c r="E1134" i="3"/>
  <c r="E1135" i="3"/>
  <c r="E1136" i="3"/>
  <c r="E1137" i="3"/>
  <c r="E1138" i="3"/>
  <c r="E1139" i="3"/>
  <c r="E1140" i="3"/>
  <c r="E1141" i="3"/>
  <c r="E1142" i="3"/>
  <c r="E1143" i="3"/>
  <c r="E1144" i="3"/>
  <c r="E1145" i="3"/>
  <c r="E1146" i="3"/>
  <c r="E1147" i="3"/>
  <c r="E1148" i="3"/>
  <c r="E1149" i="3"/>
  <c r="E1150" i="3"/>
  <c r="E1151" i="3"/>
  <c r="E1152" i="3"/>
  <c r="E1153" i="3"/>
  <c r="E1154" i="3"/>
  <c r="E1155" i="3"/>
  <c r="E1156" i="3"/>
  <c r="E1157" i="3"/>
  <c r="E1158" i="3"/>
  <c r="E1159" i="3"/>
  <c r="E1160" i="3"/>
  <c r="E1161" i="3"/>
  <c r="E1162" i="3"/>
  <c r="E1163" i="3"/>
  <c r="E1164" i="3"/>
  <c r="E1165" i="3"/>
  <c r="E1166" i="3"/>
  <c r="E1167" i="3"/>
  <c r="E1168" i="3"/>
  <c r="E1169" i="3"/>
  <c r="E1170" i="3"/>
  <c r="E1171" i="3"/>
  <c r="E1172" i="3"/>
  <c r="E1173" i="3"/>
  <c r="E1174" i="3"/>
  <c r="E1175" i="3"/>
  <c r="E1176" i="3"/>
  <c r="E1177" i="3"/>
  <c r="E1178" i="3"/>
  <c r="E1179" i="3"/>
  <c r="E1180" i="3"/>
  <c r="E1181" i="3"/>
  <c r="E1182" i="3"/>
  <c r="E1183" i="3"/>
  <c r="E1184" i="3"/>
  <c r="E1185" i="3"/>
  <c r="E1186" i="3"/>
  <c r="E1187" i="3"/>
  <c r="E1188" i="3"/>
  <c r="E1189" i="3"/>
  <c r="E1190" i="3"/>
  <c r="E1191" i="3"/>
  <c r="E1192" i="3"/>
  <c r="E1193" i="3"/>
  <c r="E1194" i="3"/>
  <c r="E1195" i="3"/>
  <c r="E1196" i="3"/>
  <c r="E1197" i="3"/>
  <c r="E1198" i="3"/>
  <c r="E1199" i="3"/>
  <c r="E1200" i="3"/>
  <c r="E1201" i="3"/>
  <c r="E1202" i="3"/>
  <c r="E1203" i="3"/>
  <c r="E1204" i="3"/>
  <c r="E1205" i="3"/>
  <c r="E1206" i="3"/>
  <c r="E1207" i="3"/>
  <c r="E1208" i="3"/>
  <c r="E1209" i="3"/>
  <c r="E1210" i="3"/>
  <c r="E1211" i="3"/>
  <c r="E1212" i="3"/>
  <c r="E1213" i="3"/>
  <c r="E1214" i="3"/>
  <c r="E1215" i="3"/>
  <c r="E1216" i="3"/>
  <c r="E1217" i="3"/>
  <c r="E1218" i="3"/>
  <c r="E1219" i="3"/>
  <c r="E1220" i="3"/>
  <c r="E1221" i="3"/>
  <c r="E1222" i="3"/>
  <c r="E1223" i="3"/>
  <c r="E1224" i="3"/>
  <c r="E1225" i="3"/>
  <c r="E1226" i="3"/>
  <c r="E1227" i="3"/>
  <c r="E1228" i="3"/>
  <c r="E1229" i="3"/>
  <c r="E1230" i="3"/>
  <c r="E1231" i="3"/>
  <c r="E1232" i="3"/>
  <c r="E1233" i="3"/>
  <c r="E1234" i="3"/>
  <c r="E1235" i="3"/>
  <c r="E1236" i="3"/>
  <c r="E1237" i="3"/>
  <c r="E1238" i="3"/>
  <c r="E1239" i="3"/>
  <c r="E1240" i="3"/>
  <c r="E1241" i="3"/>
  <c r="E1242" i="3"/>
  <c r="E1243" i="3"/>
  <c r="E1244" i="3"/>
  <c r="E1245" i="3"/>
  <c r="E1246" i="3"/>
  <c r="E1247" i="3"/>
  <c r="E1248" i="3"/>
  <c r="E1249" i="3"/>
  <c r="E1250" i="3"/>
  <c r="E1251" i="3"/>
  <c r="E1252" i="3"/>
  <c r="E1253" i="3"/>
  <c r="E1254" i="3"/>
  <c r="E1255" i="3"/>
  <c r="E1256" i="3"/>
  <c r="E1257" i="3"/>
  <c r="E1258" i="3"/>
  <c r="E1259" i="3"/>
  <c r="E1260" i="3"/>
  <c r="E1261" i="3"/>
  <c r="E1262" i="3"/>
  <c r="E1263" i="3"/>
  <c r="E1264" i="3"/>
  <c r="E1265" i="3"/>
  <c r="E1266" i="3"/>
  <c r="E1267" i="3"/>
  <c r="E1268" i="3"/>
  <c r="E1269" i="3"/>
  <c r="E1270" i="3"/>
  <c r="E1271" i="3"/>
  <c r="E1272" i="3"/>
  <c r="E1273" i="3"/>
  <c r="E1274" i="3"/>
  <c r="E1275" i="3"/>
  <c r="E1276" i="3"/>
  <c r="E1277" i="3"/>
  <c r="E1278" i="3"/>
  <c r="E1279" i="3"/>
  <c r="E1280" i="3"/>
  <c r="E1281" i="3"/>
  <c r="E1282" i="3"/>
  <c r="E1283" i="3"/>
  <c r="E1284" i="3"/>
  <c r="E1285" i="3"/>
  <c r="E1286" i="3"/>
  <c r="E1287" i="3"/>
  <c r="E1288" i="3"/>
  <c r="E1289" i="3"/>
  <c r="E1290" i="3"/>
  <c r="E1291" i="3"/>
  <c r="E1292" i="3"/>
  <c r="E1293" i="3"/>
  <c r="E1294" i="3"/>
  <c r="E1295" i="3"/>
  <c r="E1296" i="3"/>
  <c r="E1297" i="3"/>
  <c r="E1298" i="3"/>
  <c r="E1299" i="3"/>
  <c r="E1300" i="3"/>
  <c r="E1301" i="3"/>
  <c r="E1302" i="3"/>
  <c r="E1303" i="3"/>
  <c r="E1304" i="3"/>
  <c r="E1305" i="3"/>
  <c r="E1306" i="3"/>
  <c r="E1307" i="3"/>
  <c r="E1308" i="3"/>
  <c r="E1309" i="3"/>
  <c r="E1310" i="3"/>
  <c r="E1311" i="3"/>
  <c r="E1312" i="3"/>
  <c r="E1313" i="3"/>
  <c r="E1314" i="3"/>
  <c r="E1315" i="3"/>
  <c r="E1316" i="3"/>
  <c r="E1317" i="3"/>
  <c r="E1318" i="3"/>
  <c r="E1319" i="3"/>
  <c r="E1320" i="3"/>
  <c r="E1321" i="3"/>
  <c r="E1322" i="3"/>
  <c r="E1323" i="3"/>
  <c r="E1324" i="3"/>
  <c r="E1325" i="3"/>
  <c r="E1326" i="3"/>
  <c r="E1327" i="3"/>
  <c r="E1328" i="3"/>
  <c r="E1329" i="3"/>
  <c r="E1330" i="3"/>
  <c r="E1331" i="3"/>
  <c r="E1332" i="3"/>
  <c r="E1333" i="3"/>
  <c r="E1334" i="3"/>
  <c r="E1335" i="3"/>
  <c r="E1336" i="3"/>
  <c r="E1337" i="3"/>
  <c r="E1338" i="3"/>
  <c r="E1339" i="3"/>
  <c r="E1340" i="3"/>
  <c r="E1341" i="3"/>
  <c r="E1342" i="3"/>
  <c r="E1343" i="3"/>
  <c r="E1344" i="3"/>
  <c r="E1345" i="3"/>
  <c r="E1346" i="3"/>
  <c r="E1347" i="3"/>
  <c r="E1348" i="3"/>
  <c r="E1349" i="3"/>
  <c r="E1350" i="3"/>
  <c r="E1351" i="3"/>
  <c r="E1352" i="3"/>
  <c r="E1353" i="3"/>
  <c r="E1354" i="3"/>
  <c r="E1355" i="3"/>
  <c r="E1356" i="3"/>
  <c r="E1357" i="3"/>
  <c r="E1358" i="3"/>
  <c r="E1359" i="3"/>
  <c r="E1360" i="3"/>
  <c r="E1361" i="3"/>
  <c r="E1362" i="3"/>
  <c r="E1363" i="3"/>
  <c r="E1364" i="3"/>
  <c r="E1365" i="3"/>
  <c r="E1366" i="3"/>
  <c r="E1367" i="3"/>
  <c r="E1368" i="3"/>
  <c r="E1369" i="3"/>
  <c r="E1370" i="3"/>
  <c r="E1371" i="3"/>
  <c r="E1372" i="3"/>
  <c r="E1373" i="3"/>
  <c r="E1374" i="3"/>
  <c r="E1375" i="3"/>
  <c r="E1376" i="3"/>
  <c r="E1377" i="3"/>
  <c r="E1378" i="3"/>
  <c r="E1379" i="3"/>
  <c r="E1380" i="3"/>
  <c r="E1381" i="3"/>
  <c r="E1382" i="3"/>
  <c r="E1383" i="3"/>
  <c r="E1384" i="3"/>
  <c r="E1385" i="3"/>
  <c r="E1386" i="3"/>
  <c r="E1387" i="3"/>
  <c r="E1388" i="3"/>
  <c r="E1389" i="3"/>
  <c r="E1390" i="3"/>
  <c r="E1391" i="3"/>
  <c r="E1392" i="3"/>
  <c r="E1393" i="3"/>
  <c r="E1394" i="3"/>
  <c r="E1395" i="3"/>
  <c r="E1396" i="3"/>
  <c r="E1397" i="3"/>
  <c r="E1398" i="3"/>
  <c r="E1399" i="3"/>
  <c r="E1400" i="3"/>
  <c r="E1401" i="3"/>
  <c r="E1402" i="3"/>
  <c r="E1403" i="3"/>
  <c r="E1404" i="3"/>
  <c r="E1405" i="3"/>
  <c r="E1406" i="3"/>
  <c r="E1407" i="3"/>
  <c r="E1408" i="3"/>
  <c r="E1409" i="3"/>
  <c r="E1410" i="3"/>
  <c r="E1411" i="3"/>
  <c r="E1412" i="3"/>
  <c r="E1413" i="3"/>
  <c r="E1414" i="3"/>
  <c r="E1415" i="3"/>
  <c r="E1416" i="3"/>
  <c r="E1417" i="3"/>
  <c r="E1418" i="3"/>
  <c r="E1419" i="3"/>
  <c r="E1420" i="3"/>
  <c r="E1421" i="3"/>
  <c r="E1422" i="3"/>
  <c r="E1423" i="3"/>
  <c r="E1424" i="3"/>
  <c r="E1425" i="3"/>
  <c r="E1426" i="3"/>
  <c r="E1427" i="3"/>
  <c r="E1428" i="3"/>
  <c r="E1429" i="3"/>
  <c r="E1430" i="3"/>
  <c r="E1431" i="3"/>
  <c r="E1432" i="3"/>
  <c r="E1433" i="3"/>
  <c r="E1434" i="3"/>
  <c r="E1435" i="3"/>
  <c r="E1436" i="3"/>
  <c r="E1437" i="3"/>
  <c r="E1438" i="3"/>
  <c r="E1439" i="3"/>
  <c r="E1440" i="3"/>
  <c r="E1441" i="3"/>
  <c r="E1442" i="3"/>
  <c r="E1443" i="3"/>
  <c r="E1444" i="3"/>
  <c r="E1445" i="3"/>
  <c r="E1446" i="3"/>
  <c r="E1447" i="3"/>
  <c r="E1448" i="3"/>
  <c r="E1449" i="3"/>
  <c r="E1450" i="3"/>
  <c r="E1451" i="3"/>
  <c r="E1452" i="3"/>
  <c r="E1453" i="3"/>
  <c r="E1454" i="3"/>
  <c r="E1455" i="3"/>
  <c r="E1456" i="3"/>
  <c r="E1457" i="3"/>
  <c r="E1458" i="3"/>
  <c r="E1459" i="3"/>
  <c r="E1460" i="3"/>
  <c r="E1461" i="3"/>
  <c r="E1462" i="3"/>
  <c r="E1463" i="3"/>
  <c r="E1464" i="3"/>
  <c r="E1465" i="3"/>
  <c r="E1466" i="3"/>
  <c r="E1467" i="3"/>
  <c r="E1468" i="3"/>
  <c r="E1469" i="3"/>
  <c r="E1470" i="3"/>
  <c r="E1471" i="3"/>
  <c r="E1472" i="3"/>
  <c r="E1473" i="3"/>
  <c r="E1474" i="3"/>
  <c r="E1475" i="3"/>
  <c r="E1476" i="3"/>
  <c r="E1477" i="3"/>
  <c r="E1478" i="3"/>
  <c r="E1479" i="3"/>
  <c r="E1480" i="3"/>
  <c r="E1481" i="3"/>
  <c r="E1482" i="3"/>
  <c r="E1483" i="3"/>
  <c r="E1484" i="3"/>
  <c r="E1485" i="3"/>
  <c r="E1486" i="3"/>
  <c r="E1487" i="3"/>
  <c r="E1488" i="3"/>
  <c r="E1489" i="3"/>
  <c r="E1490" i="3"/>
  <c r="E1491" i="3"/>
  <c r="E1492" i="3"/>
  <c r="E1493" i="3"/>
  <c r="E1494" i="3"/>
  <c r="E1495" i="3"/>
  <c r="E1496" i="3"/>
  <c r="E1497" i="3"/>
  <c r="E1498" i="3"/>
  <c r="E1499" i="3"/>
  <c r="E1500" i="3"/>
  <c r="E1501" i="3"/>
  <c r="E1502" i="3"/>
  <c r="E1503" i="3"/>
  <c r="E1504" i="3"/>
  <c r="E1505" i="3"/>
  <c r="E1506" i="3"/>
  <c r="E1507" i="3"/>
  <c r="E1508" i="3"/>
  <c r="E1509" i="3"/>
  <c r="E1510" i="3"/>
  <c r="E1511" i="3"/>
  <c r="E1512" i="3"/>
  <c r="E1513" i="3"/>
  <c r="E1514" i="3"/>
  <c r="E1515" i="3"/>
  <c r="E1516" i="3"/>
  <c r="E1517" i="3"/>
  <c r="E1518" i="3"/>
  <c r="E1519" i="3"/>
  <c r="E1520" i="3"/>
  <c r="E1521" i="3"/>
  <c r="E1522" i="3"/>
  <c r="E1523" i="3"/>
  <c r="E1524" i="3"/>
  <c r="E1525" i="3"/>
  <c r="E1526" i="3"/>
  <c r="E1527" i="3"/>
  <c r="E1528" i="3"/>
  <c r="E1529" i="3"/>
  <c r="E1530" i="3"/>
  <c r="E1531" i="3"/>
  <c r="E1532" i="3"/>
  <c r="E1533" i="3"/>
  <c r="E1534" i="3"/>
  <c r="E1535" i="3"/>
  <c r="E1536" i="3"/>
  <c r="E1537" i="3"/>
  <c r="E1538" i="3"/>
  <c r="E1539" i="3"/>
  <c r="E1540" i="3"/>
  <c r="E1541" i="3"/>
  <c r="E1542" i="3"/>
  <c r="E1543" i="3"/>
  <c r="E1544" i="3"/>
  <c r="E1545" i="3"/>
  <c r="E1546" i="3"/>
  <c r="E1547" i="3"/>
  <c r="E1548" i="3"/>
  <c r="E1549" i="3"/>
  <c r="E1550" i="3"/>
  <c r="E1551" i="3"/>
  <c r="E1552" i="3"/>
  <c r="E1553" i="3"/>
  <c r="E1554" i="3"/>
  <c r="E1555" i="3"/>
  <c r="E1556" i="3"/>
  <c r="E1557" i="3"/>
  <c r="E1558" i="3"/>
  <c r="E1559" i="3"/>
  <c r="E1560" i="3"/>
  <c r="E1561" i="3"/>
  <c r="E1562" i="3"/>
  <c r="E1563" i="3"/>
  <c r="E1564" i="3"/>
  <c r="E1565" i="3"/>
  <c r="E1566" i="3"/>
  <c r="E1567" i="3"/>
  <c r="E1568" i="3"/>
  <c r="E1569" i="3"/>
  <c r="E1570" i="3"/>
  <c r="E1571" i="3"/>
  <c r="E1572" i="3"/>
  <c r="E1573" i="3"/>
  <c r="E1574" i="3"/>
  <c r="E1575" i="3"/>
  <c r="E1576" i="3"/>
  <c r="E1577" i="3"/>
  <c r="E1578" i="3"/>
  <c r="E1579" i="3"/>
  <c r="E1580" i="3"/>
  <c r="E1581" i="3"/>
  <c r="E1582" i="3"/>
  <c r="E1583" i="3"/>
  <c r="E1584" i="3"/>
  <c r="E1585" i="3"/>
  <c r="E1586" i="3"/>
  <c r="E1587" i="3"/>
  <c r="E1588" i="3"/>
  <c r="E1589" i="3"/>
  <c r="E1590" i="3"/>
  <c r="E1591" i="3"/>
  <c r="E1592" i="3"/>
  <c r="E1593" i="3"/>
  <c r="E1594" i="3"/>
  <c r="E1595" i="3"/>
  <c r="E1596" i="3"/>
  <c r="E1597" i="3"/>
  <c r="E1598" i="3"/>
  <c r="E1599" i="3"/>
  <c r="E1600" i="3"/>
  <c r="E1601" i="3"/>
  <c r="E1602" i="3"/>
  <c r="E1603" i="3"/>
  <c r="E1604" i="3"/>
  <c r="E1605" i="3"/>
  <c r="E1606" i="3"/>
  <c r="E1607" i="3"/>
  <c r="E1608" i="3"/>
  <c r="E1609" i="3"/>
  <c r="E1610" i="3"/>
  <c r="E1611" i="3"/>
  <c r="E1612" i="3"/>
  <c r="E1613" i="3"/>
  <c r="E1614" i="3"/>
  <c r="E1615" i="3"/>
  <c r="E1616" i="3"/>
  <c r="E1617" i="3"/>
  <c r="E1618" i="3"/>
  <c r="E1619" i="3"/>
  <c r="E1620" i="3"/>
  <c r="E1621" i="3"/>
  <c r="E1622" i="3"/>
  <c r="E1623" i="3"/>
  <c r="E1624" i="3"/>
  <c r="E1625" i="3"/>
  <c r="E1626" i="3"/>
  <c r="E1627" i="3"/>
  <c r="E1628" i="3"/>
  <c r="E1629" i="3"/>
  <c r="E1630" i="3"/>
  <c r="E1631" i="3"/>
  <c r="E1632" i="3"/>
  <c r="E1633" i="3"/>
  <c r="E1634" i="3"/>
  <c r="E1635" i="3"/>
  <c r="E1636" i="3"/>
  <c r="E1637" i="3"/>
  <c r="E1638" i="3"/>
  <c r="E1639" i="3"/>
  <c r="E1640" i="3"/>
  <c r="E1641" i="3"/>
  <c r="E1642" i="3"/>
  <c r="E1643" i="3"/>
  <c r="E1644" i="3"/>
  <c r="E1645" i="3"/>
  <c r="E1646" i="3"/>
  <c r="E1647" i="3"/>
  <c r="E1648" i="3"/>
  <c r="E1649" i="3"/>
  <c r="E1650" i="3"/>
  <c r="E1651" i="3"/>
  <c r="E1652" i="3"/>
  <c r="E1653" i="3"/>
  <c r="E1654" i="3"/>
  <c r="E1655" i="3"/>
  <c r="E1656" i="3"/>
  <c r="E1657" i="3"/>
  <c r="E1658" i="3"/>
  <c r="E1659" i="3"/>
  <c r="E1660" i="3"/>
  <c r="E1661" i="3"/>
  <c r="E1662" i="3"/>
  <c r="E1663" i="3"/>
  <c r="E1664" i="3"/>
  <c r="E1665" i="3"/>
  <c r="E1666" i="3"/>
  <c r="E1667" i="3"/>
  <c r="E1668" i="3"/>
  <c r="E1669" i="3"/>
  <c r="E1670" i="3"/>
  <c r="E1671" i="3"/>
  <c r="E1672" i="3"/>
  <c r="E1673" i="3"/>
  <c r="E1674" i="3"/>
  <c r="E1675" i="3"/>
  <c r="E1676" i="3"/>
  <c r="E1677" i="3"/>
  <c r="E1678" i="3"/>
  <c r="E1679" i="3"/>
  <c r="E1680" i="3"/>
  <c r="E1681" i="3"/>
  <c r="E1682" i="3"/>
  <c r="E1683" i="3"/>
  <c r="E1684" i="3"/>
  <c r="E1685" i="3"/>
  <c r="E1686" i="3"/>
  <c r="E1687" i="3"/>
  <c r="E1688" i="3"/>
  <c r="E1689" i="3"/>
  <c r="E1690" i="3"/>
  <c r="E1691" i="3"/>
  <c r="E1692" i="3"/>
  <c r="E1693" i="3"/>
  <c r="E1694" i="3"/>
  <c r="E1695" i="3"/>
  <c r="E1696" i="3"/>
  <c r="E1697" i="3"/>
  <c r="E1698" i="3"/>
  <c r="E1699" i="3"/>
  <c r="E1700" i="3"/>
  <c r="E1701" i="3"/>
  <c r="E1702" i="3"/>
  <c r="E1703" i="3"/>
  <c r="E1704" i="3"/>
  <c r="E1705" i="3"/>
  <c r="E1706" i="3"/>
  <c r="E1707" i="3"/>
  <c r="E1708" i="3"/>
  <c r="E1709" i="3"/>
  <c r="E1710" i="3"/>
  <c r="E1711" i="3"/>
  <c r="E1712" i="3"/>
  <c r="E1713" i="3"/>
  <c r="E1714" i="3"/>
  <c r="E1715" i="3"/>
  <c r="E1716" i="3"/>
  <c r="E1717" i="3"/>
  <c r="E1718" i="3"/>
  <c r="E1719" i="3"/>
  <c r="E1720" i="3"/>
  <c r="E1721" i="3"/>
  <c r="E1722" i="3"/>
  <c r="E1723" i="3"/>
  <c r="E1724" i="3"/>
  <c r="E1725" i="3"/>
  <c r="E1726" i="3"/>
  <c r="E1727" i="3"/>
  <c r="E1728" i="3"/>
  <c r="E1729" i="3"/>
  <c r="E1730" i="3"/>
  <c r="E1731" i="3"/>
  <c r="E1732" i="3"/>
  <c r="E1733" i="3"/>
  <c r="E1734" i="3"/>
  <c r="E1735" i="3"/>
  <c r="E1736" i="3"/>
  <c r="E1737" i="3"/>
  <c r="E1738" i="3"/>
  <c r="E1739" i="3"/>
  <c r="E1740" i="3"/>
  <c r="E1741" i="3"/>
  <c r="E1742" i="3"/>
  <c r="E1743" i="3"/>
  <c r="E1744" i="3"/>
  <c r="E1745" i="3"/>
  <c r="E1746" i="3"/>
  <c r="E1747" i="3"/>
  <c r="E1748" i="3"/>
  <c r="E1749" i="3"/>
  <c r="E1750" i="3"/>
  <c r="E1751" i="3"/>
  <c r="E1752" i="3"/>
  <c r="E1753" i="3"/>
  <c r="E1754" i="3"/>
  <c r="E1755" i="3"/>
  <c r="E1756" i="3"/>
  <c r="E1757" i="3"/>
  <c r="E1758" i="3"/>
  <c r="E1759" i="3"/>
  <c r="E1760" i="3"/>
  <c r="E1761" i="3"/>
  <c r="E1762" i="3"/>
  <c r="E1763" i="3"/>
  <c r="E1764" i="3"/>
  <c r="E1765" i="3"/>
  <c r="E1766" i="3"/>
  <c r="E1767" i="3"/>
  <c r="E1768" i="3"/>
  <c r="E1769" i="3"/>
  <c r="E1770" i="3"/>
  <c r="E1771" i="3"/>
  <c r="E1772" i="3"/>
  <c r="E1773" i="3"/>
  <c r="E1774" i="3"/>
  <c r="E1775" i="3"/>
  <c r="E1776" i="3"/>
  <c r="E1777" i="3"/>
  <c r="E1778" i="3"/>
  <c r="E1779" i="3"/>
  <c r="E1780" i="3"/>
  <c r="E1781" i="3"/>
  <c r="E1782" i="3"/>
  <c r="E1783" i="3"/>
  <c r="E1784" i="3"/>
  <c r="E1785" i="3"/>
  <c r="E1786" i="3"/>
  <c r="E1787" i="3"/>
  <c r="E1788" i="3"/>
  <c r="E1789" i="3"/>
  <c r="E1790" i="3"/>
  <c r="E1791" i="3"/>
  <c r="E1792" i="3"/>
  <c r="E1793" i="3"/>
  <c r="E1794" i="3"/>
  <c r="E1795" i="3"/>
  <c r="E1796" i="3"/>
  <c r="E1797" i="3"/>
  <c r="E1798" i="3"/>
  <c r="E1799" i="3"/>
  <c r="E1800" i="3"/>
  <c r="E1801" i="3"/>
  <c r="E1802" i="3"/>
  <c r="E1803" i="3"/>
  <c r="E1804" i="3"/>
  <c r="E1805" i="3"/>
  <c r="E1806" i="3"/>
  <c r="E1807" i="3"/>
  <c r="E1808" i="3"/>
  <c r="E1809" i="3"/>
  <c r="E1810" i="3"/>
  <c r="E1811" i="3"/>
  <c r="E1812" i="3"/>
  <c r="E1813" i="3"/>
  <c r="E1814" i="3"/>
  <c r="E1815" i="3"/>
  <c r="E1816" i="3"/>
  <c r="E1817" i="3"/>
  <c r="E1818" i="3"/>
  <c r="E1819" i="3"/>
  <c r="E1820" i="3"/>
  <c r="E1821" i="3"/>
  <c r="E1822" i="3"/>
  <c r="E1823" i="3"/>
  <c r="E1824" i="3"/>
  <c r="E1825" i="3"/>
  <c r="E1826" i="3"/>
  <c r="E1827" i="3"/>
  <c r="E1828" i="3"/>
  <c r="E1829" i="3"/>
  <c r="E1830" i="3"/>
  <c r="E1831" i="3"/>
  <c r="E1832" i="3"/>
  <c r="E1833" i="3"/>
  <c r="E1834" i="3"/>
  <c r="E1835" i="3"/>
  <c r="E1836" i="3"/>
  <c r="E1837" i="3"/>
  <c r="E1838" i="3"/>
  <c r="E1839" i="3"/>
  <c r="E1840" i="3"/>
  <c r="E1841" i="3"/>
  <c r="E1842" i="3"/>
  <c r="E1843" i="3"/>
  <c r="E1844" i="3"/>
  <c r="E1845" i="3"/>
  <c r="E1846" i="3"/>
  <c r="E1847" i="3"/>
  <c r="E1848" i="3"/>
  <c r="E1849" i="3"/>
  <c r="E1850" i="3"/>
  <c r="E1851" i="3"/>
  <c r="E1852" i="3"/>
  <c r="E1853" i="3"/>
  <c r="E1854" i="3"/>
  <c r="E1855" i="3"/>
  <c r="E1856" i="3"/>
  <c r="E1857" i="3"/>
  <c r="E1858" i="3"/>
  <c r="E1859" i="3"/>
  <c r="E1860" i="3"/>
  <c r="E1861" i="3"/>
  <c r="E1862" i="3"/>
  <c r="E1863" i="3"/>
  <c r="E1864" i="3"/>
  <c r="E1865" i="3"/>
  <c r="E1866" i="3"/>
  <c r="E1867" i="3"/>
  <c r="E1868" i="3"/>
  <c r="E1869" i="3"/>
  <c r="E1870" i="3"/>
  <c r="E1871" i="3"/>
  <c r="E1872" i="3"/>
  <c r="E1873" i="3"/>
  <c r="E1874" i="3"/>
  <c r="E1875" i="3"/>
  <c r="E1876" i="3"/>
  <c r="E1877" i="3"/>
  <c r="E1878" i="3"/>
  <c r="E1879" i="3"/>
  <c r="E1880" i="3"/>
  <c r="E1881" i="3"/>
  <c r="E1882" i="3"/>
  <c r="E1883" i="3"/>
  <c r="E1884" i="3"/>
  <c r="E1885" i="3"/>
  <c r="E1886" i="3"/>
  <c r="E1887" i="3"/>
  <c r="E1888" i="3"/>
  <c r="E1889" i="3"/>
  <c r="E1890" i="3"/>
  <c r="E1891" i="3"/>
  <c r="E1892" i="3"/>
  <c r="E1893" i="3"/>
  <c r="E1894" i="3"/>
  <c r="E1895" i="3"/>
  <c r="E1896" i="3"/>
  <c r="E1897" i="3"/>
  <c r="E1898" i="3"/>
  <c r="E1899" i="3"/>
  <c r="E1900" i="3"/>
  <c r="E1901" i="3"/>
  <c r="E1902" i="3"/>
  <c r="E1903" i="3"/>
  <c r="E1904" i="3"/>
  <c r="E1905" i="3"/>
  <c r="E1906" i="3"/>
  <c r="E1907" i="3"/>
  <c r="E1908" i="3"/>
  <c r="E1909" i="3"/>
  <c r="E1910" i="3"/>
  <c r="E1911" i="3"/>
  <c r="E1912" i="3"/>
  <c r="E1913" i="3"/>
  <c r="E1914" i="3"/>
  <c r="E1915" i="3"/>
  <c r="E1916" i="3"/>
  <c r="E1917" i="3"/>
  <c r="E1918" i="3"/>
  <c r="E1919" i="3"/>
  <c r="E1920" i="3"/>
  <c r="E1921" i="3"/>
  <c r="E1922" i="3"/>
  <c r="E1923" i="3"/>
  <c r="E1924" i="3"/>
  <c r="E1925" i="3"/>
  <c r="E1926" i="3"/>
  <c r="E1927" i="3"/>
  <c r="E1928" i="3"/>
  <c r="E1929" i="3"/>
  <c r="E1930" i="3"/>
  <c r="E1931" i="3"/>
  <c r="E1932" i="3"/>
  <c r="E1933" i="3"/>
  <c r="E1934" i="3"/>
  <c r="E1935" i="3"/>
  <c r="E1936" i="3"/>
  <c r="E1937" i="3"/>
  <c r="E1938" i="3"/>
  <c r="E1939" i="3"/>
  <c r="E1940" i="3"/>
  <c r="E1941" i="3"/>
  <c r="E1942" i="3"/>
  <c r="E1943" i="3"/>
  <c r="E1944" i="3"/>
  <c r="E1945" i="3"/>
  <c r="E1946" i="3"/>
  <c r="E1947" i="3"/>
  <c r="E1948" i="3"/>
  <c r="E1949" i="3"/>
  <c r="E1950" i="3"/>
  <c r="E1951" i="3"/>
  <c r="E1952" i="3"/>
  <c r="E1953" i="3"/>
  <c r="E1954" i="3"/>
  <c r="E1955" i="3"/>
  <c r="E1956" i="3"/>
  <c r="E1957" i="3"/>
  <c r="E1958" i="3"/>
  <c r="E1959" i="3"/>
  <c r="E1960" i="3"/>
  <c r="E1961" i="3"/>
  <c r="E1962" i="3"/>
  <c r="E1963" i="3"/>
  <c r="E1964" i="3"/>
  <c r="E1965" i="3"/>
  <c r="E1966" i="3"/>
  <c r="E1967" i="3"/>
  <c r="E1968" i="3"/>
  <c r="E1969" i="3"/>
  <c r="E1970" i="3"/>
  <c r="E1971" i="3"/>
  <c r="E1972" i="3"/>
  <c r="E1973" i="3"/>
  <c r="E1974" i="3"/>
  <c r="E1975" i="3"/>
  <c r="E1976" i="3"/>
  <c r="E1977" i="3"/>
  <c r="E1978" i="3"/>
  <c r="E1979" i="3"/>
  <c r="E1980" i="3"/>
  <c r="E1981" i="3"/>
  <c r="E1982" i="3"/>
  <c r="E1983" i="3"/>
  <c r="E1984" i="3"/>
  <c r="E1985" i="3"/>
  <c r="E1986" i="3"/>
  <c r="E1987" i="3"/>
  <c r="E1988" i="3"/>
  <c r="E1989" i="3"/>
  <c r="E1990" i="3"/>
  <c r="E1991" i="3"/>
  <c r="E1992" i="3"/>
  <c r="E1993" i="3"/>
  <c r="E1994" i="3"/>
  <c r="E1995" i="3"/>
  <c r="E1996" i="3"/>
  <c r="E1997" i="3"/>
  <c r="E1998" i="3"/>
  <c r="E1999" i="3"/>
  <c r="E2000" i="3"/>
  <c r="E2001" i="3"/>
  <c r="E2002" i="3"/>
  <c r="E2003" i="3"/>
  <c r="E2004" i="3"/>
  <c r="E2005" i="3"/>
  <c r="E2006" i="3"/>
  <c r="E2007" i="3"/>
  <c r="E2008" i="3"/>
  <c r="E2009" i="3"/>
  <c r="E2010" i="3"/>
  <c r="E2011" i="3"/>
  <c r="E2012" i="3"/>
  <c r="E2013" i="3"/>
  <c r="E2014" i="3"/>
  <c r="E2015" i="3"/>
  <c r="E2016" i="3"/>
  <c r="E2017" i="3"/>
  <c r="E2018" i="3"/>
  <c r="E2019" i="3"/>
  <c r="E2020" i="3"/>
  <c r="E2021" i="3"/>
  <c r="E2022" i="3"/>
  <c r="E2023" i="3"/>
  <c r="E2024" i="3"/>
  <c r="E2025" i="3"/>
  <c r="E2026" i="3"/>
  <c r="E2027" i="3"/>
  <c r="E2028" i="3"/>
  <c r="E2029" i="3"/>
  <c r="E2030" i="3"/>
  <c r="E2031" i="3"/>
  <c r="E2032" i="3"/>
  <c r="E2033" i="3"/>
  <c r="E2034" i="3"/>
  <c r="E2035" i="3"/>
  <c r="E2036" i="3"/>
  <c r="E2037" i="3"/>
  <c r="E2038" i="3"/>
  <c r="E2039" i="3"/>
  <c r="E2040" i="3"/>
  <c r="E2041" i="3"/>
  <c r="E2042" i="3"/>
  <c r="E2043" i="3"/>
  <c r="E2044" i="3"/>
  <c r="E2045" i="3"/>
  <c r="E2046" i="3"/>
  <c r="E2047" i="3"/>
  <c r="E2048" i="3"/>
  <c r="E2049" i="3"/>
  <c r="E2050" i="3"/>
  <c r="E2051" i="3"/>
  <c r="E2052" i="3"/>
  <c r="E2053" i="3"/>
  <c r="E2054" i="3"/>
  <c r="E2055" i="3"/>
  <c r="E2056" i="3"/>
  <c r="E2057" i="3"/>
  <c r="E2058" i="3"/>
  <c r="E2059" i="3"/>
  <c r="E2060" i="3"/>
  <c r="E2061" i="3"/>
  <c r="E2062" i="3"/>
  <c r="E2063" i="3"/>
  <c r="E2064" i="3"/>
  <c r="E2065" i="3"/>
  <c r="E2066" i="3"/>
  <c r="E2067" i="3"/>
  <c r="E2068" i="3"/>
  <c r="E2069" i="3"/>
  <c r="E2070" i="3"/>
  <c r="E2071" i="3"/>
  <c r="E2072" i="3"/>
  <c r="E2073" i="3"/>
  <c r="E2074" i="3"/>
  <c r="E2075" i="3"/>
  <c r="E2076" i="3"/>
  <c r="E2077" i="3"/>
  <c r="E2078" i="3"/>
  <c r="E2079" i="3"/>
  <c r="E2080" i="3"/>
  <c r="E2081" i="3"/>
  <c r="E2082" i="3"/>
  <c r="E2083" i="3"/>
  <c r="E2084" i="3"/>
  <c r="E2085" i="3"/>
  <c r="E2086" i="3"/>
  <c r="E2087" i="3"/>
  <c r="E2088" i="3"/>
  <c r="E2089" i="3"/>
  <c r="E2090" i="3"/>
  <c r="E2091" i="3"/>
  <c r="E2092" i="3"/>
  <c r="E2093" i="3"/>
  <c r="E2094" i="3"/>
  <c r="E2095" i="3"/>
  <c r="E2096" i="3"/>
  <c r="E2097" i="3"/>
  <c r="E2098" i="3"/>
  <c r="E2099" i="3"/>
  <c r="E2100" i="3"/>
  <c r="E2101" i="3"/>
  <c r="E2102" i="3"/>
  <c r="E2103" i="3"/>
  <c r="E2104" i="3"/>
  <c r="E2105" i="3"/>
  <c r="E2106" i="3"/>
  <c r="E2107" i="3"/>
  <c r="E2108" i="3"/>
  <c r="E2109" i="3"/>
  <c r="E2110" i="3"/>
  <c r="E2111" i="3"/>
  <c r="E2112" i="3"/>
  <c r="E2113" i="3"/>
  <c r="E2114" i="3"/>
  <c r="E2115" i="3"/>
  <c r="E2116" i="3"/>
  <c r="E2117" i="3"/>
  <c r="E2118" i="3"/>
  <c r="E2119" i="3"/>
  <c r="E2120" i="3"/>
  <c r="E2121" i="3"/>
  <c r="E2122" i="3"/>
  <c r="E2123" i="3"/>
  <c r="E2124" i="3"/>
  <c r="E2125" i="3"/>
  <c r="E2126" i="3"/>
  <c r="E2127" i="3"/>
  <c r="E2128" i="3"/>
  <c r="E2129" i="3"/>
  <c r="E2130" i="3"/>
  <c r="E2131" i="3"/>
  <c r="E2132" i="3"/>
  <c r="E2133" i="3"/>
  <c r="E2134" i="3"/>
  <c r="E2135" i="3"/>
  <c r="E2136" i="3"/>
  <c r="E2137" i="3"/>
  <c r="E2138" i="3"/>
  <c r="E2139" i="3"/>
  <c r="E2140" i="3"/>
  <c r="E2141" i="3"/>
  <c r="E2142" i="3"/>
  <c r="E2143" i="3"/>
  <c r="E2144" i="3"/>
  <c r="E2145" i="3"/>
  <c r="E2146" i="3"/>
  <c r="E2147" i="3"/>
  <c r="E2148" i="3"/>
  <c r="E2149" i="3"/>
  <c r="E2150" i="3"/>
  <c r="E2151" i="3"/>
  <c r="E2152" i="3"/>
  <c r="E2153" i="3"/>
  <c r="E2154" i="3"/>
  <c r="E2155" i="3"/>
  <c r="E2156" i="3"/>
  <c r="E2157" i="3"/>
  <c r="E2158" i="3"/>
  <c r="E2159" i="3"/>
  <c r="E2160" i="3"/>
  <c r="E2161" i="3"/>
  <c r="E2162" i="3"/>
  <c r="E2163" i="3"/>
  <c r="E2164" i="3"/>
  <c r="E2165" i="3"/>
  <c r="E2166" i="3"/>
  <c r="E2167" i="3"/>
  <c r="E2168" i="3"/>
  <c r="E2169" i="3"/>
  <c r="E2170" i="3"/>
  <c r="E2171" i="3"/>
  <c r="E2172" i="3"/>
  <c r="E2173" i="3"/>
  <c r="E2174" i="3"/>
  <c r="E2175" i="3"/>
  <c r="E2176" i="3"/>
  <c r="E2177" i="3"/>
  <c r="E2178" i="3"/>
  <c r="E2179" i="3"/>
  <c r="E2180" i="3"/>
  <c r="E2181" i="3"/>
  <c r="E2182" i="3"/>
  <c r="E2183" i="3"/>
  <c r="E2184" i="3"/>
  <c r="E2185" i="3"/>
  <c r="E2186" i="3"/>
  <c r="E2187" i="3"/>
  <c r="E2188" i="3"/>
  <c r="E2189" i="3"/>
  <c r="E2190" i="3"/>
  <c r="E2191" i="3"/>
  <c r="E2192" i="3"/>
  <c r="E2193" i="3"/>
  <c r="E2194" i="3"/>
  <c r="E2195" i="3"/>
  <c r="E2196" i="3"/>
  <c r="E2197" i="3"/>
  <c r="E2198" i="3"/>
  <c r="E2199" i="3"/>
  <c r="E2200" i="3"/>
  <c r="E2201" i="3"/>
  <c r="E2202" i="3"/>
  <c r="E2203" i="3"/>
  <c r="E2204" i="3"/>
  <c r="E2205" i="3"/>
  <c r="E2206" i="3"/>
  <c r="E2207" i="3"/>
  <c r="E2208" i="3"/>
  <c r="E2209" i="3"/>
  <c r="E2210" i="3"/>
  <c r="E2211" i="3"/>
  <c r="E2212" i="3"/>
  <c r="E2213" i="3"/>
  <c r="E2214" i="3"/>
  <c r="E2215" i="3"/>
  <c r="E2216" i="3"/>
  <c r="E2217" i="3"/>
  <c r="E2218" i="3"/>
  <c r="E2219" i="3"/>
  <c r="E2220" i="3"/>
  <c r="E2221" i="3"/>
  <c r="E2222" i="3"/>
  <c r="E2223" i="3"/>
  <c r="E2224" i="3"/>
  <c r="E2225" i="3"/>
  <c r="E2226" i="3"/>
  <c r="E2227" i="3"/>
  <c r="E2228" i="3"/>
  <c r="E2229" i="3"/>
  <c r="E2230" i="3"/>
  <c r="E2231" i="3"/>
  <c r="E2232" i="3"/>
  <c r="E2233" i="3"/>
  <c r="E2234" i="3"/>
  <c r="E2235" i="3"/>
  <c r="E2236" i="3"/>
  <c r="E2237" i="3"/>
  <c r="E2238" i="3"/>
  <c r="E2239" i="3"/>
  <c r="E2240" i="3"/>
  <c r="E2241" i="3"/>
  <c r="E2242" i="3"/>
  <c r="E2243" i="3"/>
  <c r="E2244" i="3"/>
  <c r="E2245" i="3"/>
  <c r="E2246" i="3"/>
  <c r="E2247" i="3"/>
  <c r="E2248" i="3"/>
  <c r="E2249" i="3"/>
  <c r="E2250" i="3"/>
  <c r="E2251" i="3"/>
  <c r="E2252" i="3"/>
  <c r="E2253" i="3"/>
  <c r="E2254" i="3"/>
  <c r="E2255" i="3"/>
  <c r="E2256" i="3"/>
  <c r="E2257" i="3"/>
  <c r="E2258" i="3"/>
  <c r="E2259" i="3"/>
  <c r="E2260" i="3"/>
  <c r="E2261" i="3"/>
  <c r="E2262" i="3"/>
  <c r="E2263" i="3"/>
  <c r="E2264" i="3"/>
  <c r="E2265" i="3"/>
  <c r="E2266" i="3"/>
  <c r="E2267" i="3"/>
  <c r="E2268" i="3"/>
  <c r="E2269" i="3"/>
  <c r="E2270" i="3"/>
  <c r="E2271" i="3"/>
  <c r="E2272" i="3"/>
  <c r="E2273" i="3"/>
  <c r="E2274" i="3"/>
  <c r="E2275" i="3"/>
  <c r="E2276" i="3"/>
  <c r="E2277" i="3"/>
  <c r="E2278" i="3"/>
  <c r="E2279" i="3"/>
  <c r="E2280" i="3"/>
  <c r="E2281" i="3"/>
  <c r="E2282" i="3"/>
  <c r="E2283" i="3"/>
  <c r="E2284" i="3"/>
  <c r="E2285" i="3"/>
  <c r="E2286" i="3"/>
  <c r="E2287" i="3"/>
  <c r="E2288" i="3"/>
  <c r="E2289" i="3"/>
  <c r="E2290" i="3"/>
  <c r="E2291" i="3"/>
  <c r="E2292" i="3"/>
  <c r="E2293" i="3"/>
  <c r="E2294" i="3"/>
  <c r="E2295" i="3"/>
  <c r="E2296" i="3"/>
  <c r="E2297" i="3"/>
  <c r="E2298" i="3"/>
  <c r="E2299" i="3"/>
  <c r="E2300" i="3"/>
  <c r="E2301" i="3"/>
  <c r="E2302" i="3"/>
  <c r="E2303" i="3"/>
  <c r="E2304" i="3"/>
  <c r="E2305" i="3"/>
  <c r="E2306" i="3"/>
  <c r="E2307" i="3"/>
  <c r="E2308" i="3"/>
  <c r="E2309" i="3"/>
  <c r="E2310" i="3"/>
  <c r="E2311" i="3"/>
  <c r="E2312" i="3"/>
  <c r="E2313" i="3"/>
  <c r="E2314" i="3"/>
  <c r="E2315" i="3"/>
  <c r="E2316" i="3"/>
  <c r="E2317" i="3"/>
  <c r="E2318" i="3"/>
  <c r="E2319" i="3"/>
  <c r="E2320" i="3"/>
  <c r="E2321" i="3"/>
  <c r="E2322" i="3"/>
  <c r="E2323" i="3"/>
  <c r="E2324" i="3"/>
  <c r="E2325" i="3"/>
  <c r="E2326" i="3"/>
  <c r="E2327" i="3"/>
  <c r="E2328" i="3"/>
  <c r="E2329" i="3"/>
  <c r="E2330" i="3"/>
  <c r="E2331" i="3"/>
  <c r="E2332" i="3"/>
  <c r="E2333" i="3"/>
  <c r="E2334" i="3"/>
  <c r="E2335" i="3"/>
  <c r="E2336" i="3"/>
  <c r="E2337" i="3"/>
  <c r="E2338" i="3"/>
  <c r="E2339" i="3"/>
  <c r="E2340" i="3"/>
  <c r="E2341" i="3"/>
  <c r="E2342" i="3"/>
  <c r="E2343" i="3"/>
  <c r="E2344" i="3"/>
  <c r="E2345" i="3"/>
  <c r="E2346" i="3"/>
  <c r="E2347" i="3"/>
  <c r="E2348" i="3"/>
  <c r="E2349" i="3"/>
  <c r="E2350" i="3"/>
  <c r="E2351" i="3"/>
  <c r="E2352" i="3"/>
  <c r="E2353" i="3"/>
  <c r="E2354" i="3"/>
  <c r="E2355" i="3"/>
  <c r="E2356" i="3"/>
  <c r="E2357" i="3"/>
  <c r="E2358" i="3"/>
  <c r="E2359" i="3"/>
  <c r="E2360" i="3"/>
  <c r="E2361" i="3"/>
  <c r="E2362" i="3"/>
  <c r="E2363" i="3"/>
  <c r="E2364" i="3"/>
  <c r="E2365" i="3"/>
  <c r="E2366" i="3"/>
  <c r="E2367" i="3"/>
  <c r="E2368" i="3"/>
  <c r="E2369" i="3"/>
  <c r="E2370" i="3"/>
  <c r="E2371" i="3"/>
  <c r="E2372" i="3"/>
  <c r="E2373" i="3"/>
  <c r="E2374" i="3"/>
  <c r="E2375" i="3"/>
  <c r="E2376" i="3"/>
  <c r="E2377" i="3"/>
  <c r="E2378" i="3"/>
  <c r="E2379" i="3"/>
  <c r="E2380" i="3"/>
  <c r="E2381" i="3"/>
  <c r="E2382" i="3"/>
  <c r="E2383" i="3"/>
  <c r="E2384" i="3"/>
  <c r="E2385" i="3"/>
  <c r="E2386" i="3"/>
  <c r="E2387" i="3"/>
  <c r="E2388" i="3"/>
  <c r="E2389" i="3"/>
  <c r="E2390" i="3"/>
  <c r="E2391" i="3"/>
  <c r="E2392" i="3"/>
  <c r="E2393" i="3"/>
  <c r="E2394" i="3"/>
  <c r="E2395" i="3"/>
  <c r="E2396" i="3"/>
  <c r="E2397" i="3"/>
  <c r="E2398" i="3"/>
  <c r="E2399" i="3"/>
  <c r="E2400" i="3"/>
  <c r="E2401" i="3"/>
  <c r="E2402" i="3"/>
  <c r="E2403" i="3"/>
  <c r="E2404" i="3"/>
  <c r="E2405" i="3"/>
  <c r="E2406" i="3"/>
  <c r="E2407" i="3"/>
  <c r="E2408" i="3"/>
  <c r="E2409" i="3"/>
  <c r="E2410" i="3"/>
  <c r="E2411" i="3"/>
  <c r="E2412" i="3"/>
  <c r="E2413" i="3"/>
  <c r="E2414" i="3"/>
  <c r="E2415" i="3"/>
  <c r="E2416" i="3"/>
  <c r="E2417" i="3"/>
  <c r="E2418" i="3"/>
  <c r="E2419" i="3"/>
  <c r="E2420" i="3"/>
  <c r="E2421" i="3"/>
  <c r="E2422" i="3"/>
  <c r="E2423" i="3"/>
  <c r="E2424" i="3"/>
  <c r="E2425" i="3"/>
  <c r="E2426" i="3"/>
  <c r="E2427" i="3"/>
  <c r="E2428" i="3"/>
  <c r="E2429" i="3"/>
  <c r="E2430" i="3"/>
  <c r="E2431" i="3"/>
  <c r="E2432" i="3"/>
  <c r="E2433" i="3"/>
  <c r="E2434" i="3"/>
  <c r="E2435" i="3"/>
  <c r="E2436" i="3"/>
  <c r="E2437" i="3"/>
  <c r="E2438" i="3"/>
  <c r="E2439" i="3"/>
  <c r="E2440" i="3"/>
  <c r="E2441" i="3"/>
  <c r="E2442" i="3"/>
  <c r="E2443" i="3"/>
  <c r="E2444" i="3"/>
  <c r="E2445" i="3"/>
  <c r="E2446" i="3"/>
  <c r="E2447" i="3"/>
  <c r="E2448" i="3"/>
  <c r="E2449" i="3"/>
  <c r="E2450" i="3"/>
  <c r="E2451" i="3"/>
  <c r="E2452" i="3"/>
  <c r="E2453" i="3"/>
  <c r="E2454" i="3"/>
  <c r="E2455" i="3"/>
  <c r="E2456" i="3"/>
  <c r="E2457" i="3"/>
  <c r="E2458" i="3"/>
  <c r="E2459" i="3"/>
  <c r="E2460" i="3"/>
  <c r="E2461" i="3"/>
  <c r="E2462" i="3"/>
  <c r="E2463" i="3"/>
  <c r="E2464" i="3"/>
  <c r="E2465" i="3"/>
  <c r="E2466" i="3"/>
  <c r="E2467" i="3"/>
  <c r="E2468" i="3"/>
  <c r="E2469" i="3"/>
  <c r="E2470" i="3"/>
  <c r="E2471" i="3"/>
  <c r="E2472" i="3"/>
  <c r="E2473" i="3"/>
  <c r="E2474" i="3"/>
  <c r="E2475" i="3"/>
  <c r="E2476" i="3"/>
  <c r="E2477" i="3"/>
  <c r="E2478" i="3"/>
  <c r="E2479" i="3"/>
  <c r="E2480" i="3"/>
  <c r="E2481" i="3"/>
  <c r="E2482" i="3"/>
  <c r="E2483" i="3"/>
  <c r="E2484" i="3"/>
  <c r="E2485" i="3"/>
  <c r="E2486" i="3"/>
  <c r="E2487" i="3"/>
  <c r="E2488" i="3"/>
  <c r="E2489" i="3"/>
  <c r="E2490" i="3"/>
  <c r="E2491" i="3"/>
  <c r="E2492" i="3"/>
  <c r="E2493" i="3"/>
  <c r="E2494" i="3"/>
  <c r="E2495" i="3"/>
  <c r="E2496" i="3"/>
  <c r="E2497" i="3"/>
  <c r="E2498" i="3"/>
  <c r="E2499" i="3"/>
  <c r="E2500" i="3"/>
  <c r="E2501" i="3"/>
  <c r="E2502" i="3"/>
  <c r="E2503" i="3"/>
  <c r="E2504" i="3"/>
  <c r="E2505" i="3"/>
  <c r="E2506" i="3"/>
  <c r="E2507" i="3"/>
  <c r="E2508" i="3"/>
  <c r="E2509" i="3"/>
  <c r="E2510" i="3"/>
  <c r="E2511" i="3"/>
  <c r="E2512" i="3"/>
  <c r="E2513" i="3"/>
  <c r="E2514" i="3"/>
  <c r="E2515" i="3"/>
  <c r="E2516" i="3"/>
  <c r="E2517" i="3"/>
  <c r="E2518" i="3"/>
  <c r="E2519" i="3"/>
  <c r="E2520" i="3"/>
  <c r="E2521" i="3"/>
  <c r="E2522" i="3"/>
  <c r="E2523" i="3"/>
  <c r="E2524" i="3"/>
  <c r="E2525" i="3"/>
  <c r="E2526" i="3"/>
  <c r="E2527" i="3"/>
  <c r="E2528" i="3"/>
  <c r="E2529" i="3"/>
  <c r="E2530" i="3"/>
  <c r="E2531" i="3"/>
  <c r="E2532" i="3"/>
  <c r="E2533" i="3"/>
  <c r="E2534" i="3"/>
  <c r="E2535" i="3"/>
  <c r="E2536" i="3"/>
  <c r="E2537" i="3"/>
  <c r="E2538" i="3"/>
  <c r="E2539" i="3"/>
  <c r="E2540" i="3"/>
  <c r="E2541" i="3"/>
  <c r="E2542" i="3"/>
  <c r="E2543" i="3"/>
  <c r="E2544" i="3"/>
  <c r="E2545" i="3"/>
  <c r="E2546" i="3"/>
  <c r="E2547" i="3"/>
  <c r="E2548" i="3"/>
  <c r="E2549" i="3"/>
  <c r="E2550" i="3"/>
  <c r="E2551" i="3"/>
  <c r="E2552" i="3"/>
  <c r="E2553" i="3"/>
  <c r="E2554" i="3"/>
  <c r="E2555" i="3"/>
  <c r="E2556" i="3"/>
  <c r="E2557" i="3"/>
  <c r="E2558" i="3"/>
  <c r="E2559" i="3"/>
  <c r="E2560" i="3"/>
  <c r="E2561" i="3"/>
  <c r="E2562" i="3"/>
  <c r="E2563" i="3"/>
  <c r="E2564" i="3"/>
  <c r="E2565" i="3"/>
  <c r="E2566" i="3"/>
  <c r="E2567" i="3"/>
  <c r="E2568" i="3"/>
  <c r="E2569" i="3"/>
  <c r="E2570" i="3"/>
  <c r="E2571" i="3"/>
  <c r="E2572" i="3"/>
  <c r="E2573" i="3"/>
  <c r="E2574" i="3"/>
  <c r="E2575" i="3"/>
  <c r="E2576" i="3"/>
  <c r="E2577" i="3"/>
  <c r="E2578" i="3"/>
  <c r="E2579" i="3"/>
  <c r="E2580" i="3"/>
  <c r="E2581" i="3"/>
  <c r="E2582" i="3"/>
  <c r="E2583" i="3"/>
  <c r="E2584" i="3"/>
  <c r="E2585" i="3"/>
  <c r="E2586" i="3"/>
  <c r="E2587" i="3"/>
  <c r="E2588" i="3"/>
  <c r="E2589" i="3"/>
  <c r="E2590" i="3"/>
  <c r="E2591" i="3"/>
  <c r="E2592" i="3"/>
  <c r="E2593" i="3"/>
  <c r="E2594" i="3"/>
  <c r="E2595" i="3"/>
  <c r="E2596" i="3"/>
  <c r="E2597" i="3"/>
  <c r="E2598" i="3"/>
  <c r="E2599" i="3"/>
  <c r="E2600" i="3"/>
  <c r="E2601" i="3"/>
  <c r="E2602" i="3"/>
  <c r="E2603" i="3"/>
  <c r="E2604" i="3"/>
  <c r="E2605" i="3"/>
  <c r="E2606" i="3"/>
  <c r="E2607" i="3"/>
  <c r="E2608" i="3"/>
  <c r="E2609" i="3"/>
  <c r="E2610" i="3"/>
  <c r="E2611" i="3"/>
  <c r="E2612" i="3"/>
  <c r="E2613" i="3"/>
  <c r="E2614" i="3"/>
  <c r="E2615" i="3"/>
  <c r="E2616" i="3"/>
  <c r="E2617" i="3"/>
  <c r="E2618" i="3"/>
  <c r="E2619" i="3"/>
  <c r="E2620" i="3"/>
  <c r="E2621" i="3"/>
  <c r="E2622" i="3"/>
  <c r="E2623" i="3"/>
  <c r="E2624" i="3"/>
  <c r="E2625" i="3"/>
  <c r="E2626" i="3"/>
  <c r="E2627" i="3"/>
  <c r="E2628" i="3"/>
  <c r="E2629" i="3"/>
  <c r="E2630" i="3"/>
  <c r="E2631" i="3"/>
  <c r="E2632" i="3"/>
  <c r="E2633" i="3"/>
  <c r="E2634" i="3"/>
  <c r="E2635" i="3"/>
  <c r="E2636" i="3"/>
  <c r="E2637" i="3"/>
  <c r="E2638" i="3"/>
  <c r="E2639" i="3"/>
  <c r="E2640" i="3"/>
  <c r="E2641" i="3"/>
  <c r="E2642" i="3"/>
  <c r="E2643" i="3"/>
  <c r="E2644" i="3"/>
  <c r="E2645" i="3"/>
  <c r="E2646" i="3"/>
  <c r="E2647" i="3"/>
  <c r="E2648" i="3"/>
  <c r="E2649" i="3"/>
  <c r="E2650" i="3"/>
  <c r="E2651" i="3"/>
  <c r="E2652" i="3"/>
  <c r="E2653" i="3"/>
  <c r="E2654" i="3"/>
  <c r="E2655" i="3"/>
  <c r="E2656" i="3"/>
  <c r="E2657" i="3"/>
  <c r="E2658" i="3"/>
  <c r="E2659" i="3"/>
  <c r="E2660" i="3"/>
  <c r="E2661" i="3"/>
  <c r="E2662" i="3"/>
  <c r="E2663" i="3"/>
  <c r="E2664" i="3"/>
  <c r="E2665" i="3"/>
  <c r="E2666" i="3"/>
  <c r="E2667" i="3"/>
  <c r="E2668" i="3"/>
  <c r="E2669" i="3"/>
  <c r="E2670" i="3"/>
  <c r="E2671" i="3"/>
  <c r="E2672" i="3"/>
  <c r="E2673" i="3"/>
  <c r="E2674" i="3"/>
  <c r="E2675" i="3"/>
  <c r="E2676" i="3"/>
  <c r="E2677" i="3"/>
  <c r="E2678" i="3"/>
  <c r="E2679" i="3"/>
  <c r="E2680" i="3"/>
  <c r="E2681" i="3"/>
  <c r="E2682" i="3"/>
  <c r="E2683" i="3"/>
  <c r="E2684" i="3"/>
  <c r="E2685" i="3"/>
  <c r="E2686" i="3"/>
  <c r="E2687" i="3"/>
  <c r="E2688" i="3"/>
  <c r="E2689" i="3"/>
  <c r="E2690" i="3"/>
  <c r="E2691" i="3"/>
  <c r="E2692" i="3"/>
  <c r="E2693" i="3"/>
  <c r="E2694" i="3"/>
  <c r="E2695" i="3"/>
  <c r="E2696" i="3"/>
  <c r="E2697" i="3"/>
  <c r="E2698" i="3"/>
  <c r="E2699" i="3"/>
  <c r="E2700" i="3"/>
  <c r="E2701" i="3"/>
  <c r="E2702" i="3"/>
  <c r="E2703" i="3"/>
  <c r="E2704" i="3"/>
  <c r="E2705" i="3"/>
  <c r="E2706" i="3"/>
  <c r="E2707" i="3"/>
  <c r="E2708" i="3"/>
  <c r="E2709" i="3"/>
  <c r="E2710" i="3"/>
  <c r="E2711" i="3"/>
  <c r="E2712" i="3"/>
  <c r="E2713" i="3"/>
  <c r="E2714" i="3"/>
  <c r="E2715" i="3"/>
  <c r="E2716" i="3"/>
  <c r="E2717" i="3"/>
  <c r="E2718" i="3"/>
  <c r="E2719" i="3"/>
  <c r="E2720" i="3"/>
  <c r="E2721" i="3"/>
  <c r="E2722" i="3"/>
  <c r="E2723" i="3"/>
  <c r="E2724" i="3"/>
  <c r="E2725" i="3"/>
  <c r="E2726" i="3"/>
  <c r="E2727" i="3"/>
  <c r="E2728" i="3"/>
  <c r="E2729" i="3"/>
  <c r="E2730" i="3"/>
  <c r="E2731" i="3"/>
  <c r="E2732" i="3"/>
  <c r="E2733" i="3"/>
  <c r="E2734" i="3"/>
  <c r="E2735" i="3"/>
  <c r="E2736" i="3"/>
  <c r="E2737" i="3"/>
  <c r="E2738" i="3"/>
  <c r="E2739" i="3"/>
  <c r="E2740" i="3"/>
  <c r="E2741" i="3"/>
  <c r="E2742" i="3"/>
  <c r="E2743" i="3"/>
  <c r="E2744" i="3"/>
  <c r="E2745" i="3"/>
  <c r="E2746" i="3"/>
  <c r="E2747" i="3"/>
  <c r="E2748" i="3"/>
  <c r="E2749" i="3"/>
  <c r="E2750" i="3"/>
  <c r="E2751" i="3"/>
  <c r="E2752" i="3"/>
  <c r="E2753" i="3"/>
  <c r="E2754" i="3"/>
  <c r="E2755" i="3"/>
  <c r="E2756" i="3"/>
  <c r="E2757" i="3"/>
  <c r="E2758" i="3"/>
  <c r="E2759" i="3"/>
  <c r="E2760" i="3"/>
  <c r="E2761" i="3"/>
  <c r="E2762" i="3"/>
  <c r="E2763" i="3"/>
  <c r="E2764" i="3"/>
  <c r="E2765" i="3"/>
  <c r="E2766" i="3"/>
  <c r="E2767" i="3"/>
  <c r="E2768" i="3"/>
  <c r="E2769" i="3"/>
  <c r="E2770" i="3"/>
  <c r="E2771" i="3"/>
  <c r="E2772" i="3"/>
  <c r="E2773" i="3"/>
  <c r="E2774" i="3"/>
  <c r="E2775" i="3"/>
  <c r="E2776" i="3"/>
  <c r="E2777" i="3"/>
  <c r="E2778" i="3"/>
  <c r="E2779" i="3"/>
  <c r="E2780" i="3"/>
  <c r="E2781" i="3"/>
  <c r="E2782" i="3"/>
  <c r="E2783" i="3"/>
  <c r="E2784" i="3"/>
  <c r="E2785" i="3"/>
  <c r="E2786" i="3"/>
  <c r="E2787" i="3"/>
  <c r="E2788" i="3"/>
  <c r="E2789" i="3"/>
  <c r="E2790" i="3"/>
  <c r="E2791" i="3"/>
  <c r="E2792" i="3"/>
  <c r="E2793" i="3"/>
  <c r="E2794" i="3"/>
  <c r="E2795" i="3"/>
  <c r="E2796" i="3"/>
  <c r="E2797" i="3"/>
  <c r="E2798" i="3"/>
  <c r="E2799" i="3"/>
  <c r="E2800" i="3"/>
  <c r="E2801" i="3"/>
  <c r="E2802" i="3"/>
  <c r="E2803" i="3"/>
  <c r="E2804" i="3"/>
  <c r="E2805" i="3"/>
  <c r="E2806" i="3"/>
  <c r="E2807" i="3"/>
  <c r="E2808" i="3"/>
  <c r="E2809" i="3"/>
  <c r="E2810" i="3"/>
  <c r="E2811" i="3"/>
  <c r="E2812" i="3"/>
  <c r="E2813" i="3"/>
  <c r="E2814" i="3"/>
  <c r="E2815" i="3"/>
  <c r="E2816" i="3"/>
  <c r="E2817" i="3"/>
  <c r="E2818" i="3"/>
  <c r="E2819" i="3"/>
  <c r="E2820" i="3"/>
  <c r="E2821" i="3"/>
  <c r="E2822" i="3"/>
  <c r="E2823" i="3"/>
  <c r="E2824" i="3"/>
  <c r="E2825" i="3"/>
  <c r="E2826" i="3"/>
  <c r="E2827" i="3"/>
  <c r="E2828" i="3"/>
  <c r="E2829" i="3"/>
  <c r="E2830" i="3"/>
  <c r="E2831" i="3"/>
  <c r="E2832" i="3"/>
  <c r="E2833" i="3"/>
  <c r="E2834" i="3"/>
  <c r="E2835" i="3"/>
  <c r="E2836" i="3"/>
  <c r="E2837" i="3"/>
  <c r="E2838" i="3"/>
  <c r="E2839" i="3"/>
  <c r="E2840" i="3"/>
  <c r="E2841" i="3"/>
  <c r="E2842" i="3"/>
  <c r="E2843" i="3"/>
  <c r="E2844" i="3"/>
  <c r="E2845" i="3"/>
  <c r="E2846" i="3"/>
  <c r="E2847" i="3"/>
  <c r="E2848" i="3"/>
  <c r="E2849" i="3"/>
  <c r="E2850" i="3"/>
  <c r="E2851" i="3"/>
  <c r="E2852" i="3"/>
  <c r="E2853" i="3"/>
  <c r="E2854" i="3"/>
  <c r="E2855" i="3"/>
  <c r="E2856" i="3"/>
  <c r="E2857" i="3"/>
  <c r="E2858" i="3"/>
  <c r="E2859" i="3"/>
  <c r="E2860" i="3"/>
  <c r="E2861" i="3"/>
  <c r="E2862" i="3"/>
  <c r="E2863" i="3"/>
  <c r="E2864" i="3"/>
  <c r="E2865" i="3"/>
  <c r="E2866" i="3"/>
  <c r="E2867" i="3"/>
  <c r="E2868" i="3"/>
  <c r="E2869" i="3"/>
  <c r="E2870" i="3"/>
  <c r="E2871" i="3"/>
  <c r="E2872" i="3"/>
  <c r="E2873" i="3"/>
  <c r="E2874" i="3"/>
  <c r="E2875" i="3"/>
  <c r="E2876" i="3"/>
  <c r="E2877" i="3"/>
  <c r="E2878" i="3"/>
  <c r="E2879" i="3"/>
  <c r="E2880" i="3"/>
  <c r="E2881" i="3"/>
  <c r="E2882" i="3"/>
  <c r="E2883" i="3"/>
  <c r="E2884" i="3"/>
  <c r="E2885" i="3"/>
  <c r="E2886" i="3"/>
  <c r="E2887" i="3"/>
  <c r="E2888" i="3"/>
  <c r="E2889" i="3"/>
  <c r="E2890" i="3"/>
  <c r="E2891" i="3"/>
  <c r="E2892" i="3"/>
  <c r="E2893" i="3"/>
  <c r="E2894" i="3"/>
  <c r="E2895" i="3"/>
  <c r="E2896" i="3"/>
  <c r="E2897" i="3"/>
  <c r="E2898" i="3"/>
  <c r="E2899" i="3"/>
  <c r="E2900" i="3"/>
  <c r="E2901" i="3"/>
  <c r="E2902" i="3"/>
  <c r="E2903" i="3"/>
  <c r="E2904" i="3"/>
  <c r="E2905" i="3"/>
  <c r="E2906" i="3"/>
  <c r="E2907" i="3"/>
  <c r="E2908" i="3"/>
  <c r="E2909" i="3"/>
  <c r="E2910" i="3"/>
  <c r="E2911" i="3"/>
  <c r="E2912" i="3"/>
  <c r="E2913" i="3"/>
  <c r="E2914" i="3"/>
  <c r="E2915" i="3"/>
  <c r="E2916" i="3"/>
  <c r="E2917" i="3"/>
  <c r="E2918" i="3"/>
  <c r="E2919" i="3"/>
  <c r="E2920" i="3"/>
  <c r="E2921" i="3"/>
  <c r="E2922" i="3"/>
  <c r="E2923" i="3"/>
  <c r="E2924" i="3"/>
  <c r="E2925" i="3"/>
  <c r="E2926" i="3"/>
  <c r="E2927" i="3"/>
  <c r="E2928" i="3"/>
  <c r="E2929" i="3"/>
  <c r="E2930" i="3"/>
  <c r="E2931" i="3"/>
  <c r="E2932" i="3"/>
  <c r="E2933" i="3"/>
  <c r="E2934" i="3"/>
  <c r="E2935" i="3"/>
  <c r="E2936" i="3"/>
  <c r="E2937" i="3"/>
  <c r="E2938" i="3"/>
  <c r="E2939" i="3"/>
  <c r="E2940" i="3"/>
  <c r="E2941" i="3"/>
  <c r="E2942" i="3"/>
  <c r="E2943" i="3"/>
  <c r="E2944" i="3"/>
  <c r="E2945" i="3"/>
  <c r="E2946" i="3"/>
  <c r="E2947" i="3"/>
  <c r="E2948" i="3"/>
  <c r="E2949" i="3"/>
  <c r="E2950" i="3"/>
  <c r="E2951" i="3"/>
  <c r="E2952" i="3"/>
  <c r="E2953" i="3"/>
  <c r="E2954" i="3"/>
  <c r="E2955" i="3"/>
  <c r="E2956" i="3"/>
  <c r="E2957" i="3"/>
  <c r="E2958" i="3"/>
  <c r="E2959" i="3"/>
  <c r="E2960" i="3"/>
  <c r="E2961" i="3"/>
  <c r="E2962" i="3"/>
  <c r="E2963" i="3"/>
  <c r="E2964" i="3"/>
  <c r="E2965" i="3"/>
  <c r="E2966" i="3"/>
  <c r="E2967" i="3"/>
  <c r="E2968" i="3"/>
  <c r="E2969" i="3"/>
  <c r="E2970" i="3"/>
  <c r="E2971" i="3"/>
  <c r="E2972" i="3"/>
  <c r="E2973" i="3"/>
  <c r="E2974" i="3"/>
  <c r="E2975" i="3"/>
  <c r="E2976" i="3"/>
  <c r="E2977" i="3"/>
  <c r="E2978" i="3"/>
  <c r="E2979" i="3"/>
  <c r="E2980" i="3"/>
  <c r="E2981" i="3"/>
  <c r="E2982" i="3"/>
  <c r="E2983" i="3"/>
  <c r="E2984" i="3"/>
  <c r="E2985" i="3"/>
  <c r="E2986" i="3"/>
  <c r="E2987" i="3"/>
  <c r="E2988" i="3"/>
  <c r="E2989" i="3"/>
  <c r="E2990" i="3"/>
  <c r="E2991" i="3"/>
  <c r="E2992" i="3"/>
  <c r="E2993" i="3"/>
  <c r="E2994" i="3"/>
  <c r="E2995" i="3"/>
  <c r="E2996" i="3"/>
  <c r="E2997" i="3"/>
  <c r="E2998" i="3"/>
  <c r="E2999" i="3"/>
  <c r="E3000" i="3"/>
  <c r="E3001" i="3"/>
  <c r="E3002" i="3"/>
  <c r="E3003" i="3"/>
  <c r="E3004" i="3"/>
  <c r="E3005" i="3"/>
  <c r="E3006" i="3"/>
  <c r="E3007" i="3"/>
  <c r="E3008" i="3"/>
  <c r="E3009" i="3"/>
  <c r="E3010" i="3"/>
  <c r="E3011" i="3"/>
  <c r="E3012" i="3"/>
  <c r="E3013" i="3"/>
  <c r="E3014" i="3"/>
  <c r="E3015" i="3"/>
  <c r="E3016" i="3"/>
  <c r="E3017" i="3"/>
  <c r="E3018" i="3"/>
  <c r="E3019" i="3"/>
  <c r="E3020" i="3"/>
  <c r="E3021" i="3"/>
  <c r="E3022" i="3"/>
  <c r="E3023" i="3"/>
  <c r="E3024" i="3"/>
  <c r="E3025" i="3"/>
  <c r="E3026" i="3"/>
  <c r="E3027" i="3"/>
  <c r="E3028" i="3"/>
  <c r="E3029" i="3"/>
  <c r="E3030" i="3"/>
  <c r="E3031" i="3"/>
  <c r="E3032" i="3"/>
  <c r="E3033" i="3"/>
  <c r="E3034" i="3"/>
  <c r="E3035" i="3"/>
  <c r="E3036" i="3"/>
  <c r="E3037" i="3"/>
  <c r="E3038" i="3"/>
  <c r="E3039" i="3"/>
  <c r="E3040" i="3"/>
  <c r="E3041" i="3"/>
  <c r="E3042" i="3"/>
  <c r="E3043" i="3"/>
  <c r="E3044" i="3"/>
  <c r="E3045" i="3"/>
  <c r="E3046" i="3"/>
  <c r="E3047" i="3"/>
  <c r="E3048" i="3"/>
  <c r="E3049" i="3"/>
  <c r="E3050" i="3"/>
  <c r="E3051" i="3"/>
  <c r="E3052" i="3"/>
  <c r="E3053" i="3"/>
  <c r="E3054" i="3"/>
  <c r="E3055" i="3"/>
  <c r="E3056" i="3"/>
  <c r="E3057" i="3"/>
  <c r="E3058" i="3"/>
  <c r="E3059" i="3"/>
  <c r="E3060" i="3"/>
  <c r="E3061" i="3"/>
  <c r="E3062" i="3"/>
  <c r="E3063" i="3"/>
  <c r="E3064" i="3"/>
  <c r="E3065" i="3"/>
  <c r="E3066" i="3"/>
  <c r="E3067" i="3"/>
  <c r="E3068" i="3"/>
  <c r="E3069" i="3"/>
  <c r="E3070" i="3"/>
  <c r="E3071" i="3"/>
  <c r="E3072" i="3"/>
  <c r="E3073" i="3"/>
  <c r="E3074" i="3"/>
  <c r="E3075" i="3"/>
  <c r="E3076" i="3"/>
  <c r="E3077" i="3"/>
  <c r="E3078" i="3"/>
  <c r="E3079" i="3"/>
  <c r="E3080" i="3"/>
  <c r="E3081" i="3"/>
  <c r="E3082" i="3"/>
  <c r="E3083" i="3"/>
  <c r="E3084" i="3"/>
  <c r="E3085" i="3"/>
  <c r="E3086" i="3"/>
  <c r="E3087" i="3"/>
  <c r="E3088" i="3"/>
  <c r="E3089" i="3"/>
  <c r="E3090" i="3"/>
  <c r="E3091" i="3"/>
  <c r="E3092" i="3"/>
  <c r="E3093" i="3"/>
  <c r="E3094" i="3"/>
  <c r="E3095" i="3"/>
  <c r="E3096" i="3"/>
  <c r="E3097" i="3"/>
  <c r="E3098" i="3"/>
  <c r="E3099" i="3"/>
  <c r="E3100" i="3"/>
  <c r="E3101" i="3"/>
  <c r="E3102" i="3"/>
  <c r="E3103" i="3"/>
  <c r="E3104" i="3"/>
  <c r="E3105" i="3"/>
  <c r="E3106" i="3"/>
  <c r="E3107" i="3"/>
  <c r="E3108" i="3"/>
  <c r="E3109" i="3"/>
  <c r="E3110" i="3"/>
  <c r="E3111" i="3"/>
  <c r="E3112" i="3"/>
  <c r="E3113" i="3"/>
  <c r="E3114" i="3"/>
  <c r="E3115" i="3"/>
  <c r="E3116" i="3"/>
  <c r="E3117" i="3"/>
  <c r="E3118" i="3"/>
  <c r="E3119" i="3"/>
  <c r="E3120" i="3"/>
  <c r="E3121" i="3"/>
  <c r="E3122" i="3"/>
  <c r="E3123" i="3"/>
  <c r="E3124" i="3"/>
  <c r="E3125" i="3"/>
  <c r="E3126" i="3"/>
  <c r="E3127" i="3"/>
  <c r="E3128" i="3"/>
  <c r="E3129" i="3"/>
  <c r="E3130" i="3"/>
  <c r="E3131" i="3"/>
  <c r="E3132" i="3"/>
  <c r="E3133" i="3"/>
  <c r="E3134" i="3"/>
  <c r="E3135" i="3"/>
  <c r="E3136" i="3"/>
  <c r="E3137" i="3"/>
  <c r="E3138" i="3"/>
  <c r="E3139" i="3"/>
  <c r="E3140" i="3"/>
  <c r="E3141" i="3"/>
  <c r="E3142" i="3"/>
  <c r="E3143" i="3"/>
  <c r="E3144" i="3"/>
  <c r="E3145" i="3"/>
  <c r="E3146" i="3"/>
  <c r="E3147" i="3"/>
  <c r="E3148" i="3"/>
  <c r="E3149" i="3"/>
  <c r="E3150" i="3"/>
  <c r="E3151" i="3"/>
  <c r="E3152" i="3"/>
  <c r="E3153" i="3"/>
  <c r="E3154" i="3"/>
  <c r="E3155" i="3"/>
  <c r="E3156" i="3"/>
  <c r="E3157" i="3"/>
  <c r="E3158" i="3"/>
  <c r="E3159" i="3"/>
  <c r="E3160" i="3"/>
  <c r="E3161" i="3"/>
  <c r="E3162" i="3"/>
  <c r="E3163" i="3"/>
  <c r="E3164" i="3"/>
  <c r="E3165" i="3"/>
  <c r="E3166" i="3"/>
  <c r="E3167" i="3"/>
  <c r="E3168" i="3"/>
  <c r="E3169" i="3"/>
  <c r="E3170" i="3"/>
  <c r="E3171" i="3"/>
  <c r="E3172" i="3"/>
  <c r="E3173" i="3"/>
  <c r="E3174" i="3"/>
  <c r="E3175" i="3"/>
  <c r="E3176" i="3"/>
  <c r="E3177" i="3"/>
  <c r="E3178" i="3"/>
  <c r="E3179" i="3"/>
  <c r="E3180" i="3"/>
  <c r="E3181" i="3"/>
  <c r="E3182" i="3"/>
  <c r="E3183" i="3"/>
  <c r="E3184" i="3"/>
  <c r="E3185" i="3"/>
  <c r="E3186" i="3"/>
  <c r="E3187" i="3"/>
  <c r="E3188" i="3"/>
  <c r="E3189" i="3"/>
  <c r="E3190" i="3"/>
  <c r="E3191" i="3"/>
  <c r="E3192" i="3"/>
  <c r="E3193" i="3"/>
  <c r="E3194" i="3"/>
  <c r="E3195" i="3"/>
  <c r="E3196" i="3"/>
  <c r="E3197" i="3"/>
  <c r="E3198" i="3"/>
  <c r="E3199" i="3"/>
  <c r="E3200" i="3"/>
  <c r="E3201" i="3"/>
  <c r="E3202" i="3"/>
  <c r="E3203" i="3"/>
  <c r="E3204" i="3"/>
  <c r="E3205" i="3"/>
  <c r="E3206" i="3"/>
  <c r="E3207" i="3"/>
  <c r="E3208" i="3"/>
  <c r="E3209" i="3"/>
  <c r="E3210" i="3"/>
  <c r="E3211" i="3"/>
  <c r="E3212" i="3"/>
  <c r="E3213" i="3"/>
  <c r="E3214" i="3"/>
  <c r="E3215" i="3"/>
  <c r="E3216" i="3"/>
  <c r="E3217" i="3"/>
  <c r="E3218" i="3"/>
  <c r="E3219" i="3"/>
  <c r="E3220" i="3"/>
  <c r="E3221" i="3"/>
  <c r="E3222" i="3"/>
  <c r="E3223" i="3"/>
  <c r="E3224" i="3"/>
  <c r="E3225" i="3"/>
  <c r="E3226" i="3"/>
  <c r="E3227" i="3"/>
  <c r="E3228" i="3"/>
  <c r="E3229" i="3"/>
  <c r="E3230" i="3"/>
  <c r="E3231" i="3"/>
  <c r="E3232" i="3"/>
  <c r="E3233" i="3"/>
  <c r="E3234" i="3"/>
  <c r="E3235" i="3"/>
  <c r="E3236" i="3"/>
  <c r="E3237" i="3"/>
  <c r="E3238" i="3"/>
  <c r="E3239" i="3"/>
  <c r="E3240" i="3"/>
  <c r="E3241" i="3"/>
  <c r="E3242" i="3"/>
  <c r="E3243" i="3"/>
  <c r="E3244" i="3"/>
  <c r="E3245" i="3"/>
  <c r="E3246" i="3"/>
  <c r="E3247" i="3"/>
  <c r="E3248" i="3"/>
  <c r="E3249" i="3"/>
  <c r="E3250" i="3"/>
  <c r="E3251" i="3"/>
  <c r="E3252" i="3"/>
  <c r="E3253" i="3"/>
  <c r="E3254" i="3"/>
  <c r="E3255" i="3"/>
  <c r="E3256" i="3"/>
  <c r="E3257" i="3"/>
  <c r="E3258" i="3"/>
  <c r="E3259" i="3"/>
  <c r="E3260" i="3"/>
  <c r="E3261" i="3"/>
  <c r="E3262" i="3"/>
  <c r="E3263" i="3"/>
  <c r="E3264" i="3"/>
  <c r="E3265" i="3"/>
  <c r="E3266" i="3"/>
  <c r="E3267" i="3"/>
  <c r="E3268" i="3"/>
  <c r="E3269" i="3"/>
  <c r="E3270" i="3"/>
  <c r="E3271" i="3"/>
  <c r="E3272" i="3"/>
  <c r="E3273" i="3"/>
  <c r="E3274" i="3"/>
  <c r="E3275" i="3"/>
  <c r="E3276" i="3"/>
  <c r="E3277" i="3"/>
  <c r="E3278" i="3"/>
  <c r="E3279" i="3"/>
  <c r="E3280" i="3"/>
  <c r="E3281" i="3"/>
  <c r="E3282" i="3"/>
  <c r="E3283" i="3"/>
  <c r="E3284" i="3"/>
  <c r="E3285" i="3"/>
  <c r="E3286" i="3"/>
  <c r="E3287" i="3"/>
  <c r="E3288" i="3"/>
  <c r="E3289" i="3"/>
  <c r="E3290" i="3"/>
  <c r="E3291" i="3"/>
  <c r="E3292" i="3"/>
  <c r="E3293" i="3"/>
  <c r="E3294" i="3"/>
  <c r="E3295" i="3"/>
  <c r="E3296" i="3"/>
  <c r="E3297" i="3"/>
  <c r="E3298" i="3"/>
  <c r="E3299" i="3"/>
  <c r="E3300" i="3"/>
  <c r="E3301" i="3"/>
  <c r="E3302" i="3"/>
  <c r="E3303" i="3"/>
  <c r="E3304" i="3"/>
  <c r="E3305" i="3"/>
  <c r="E3306" i="3"/>
  <c r="E3307" i="3"/>
  <c r="E3308" i="3"/>
  <c r="E3309" i="3"/>
  <c r="E3310" i="3"/>
  <c r="E3311" i="3"/>
  <c r="E3312" i="3"/>
  <c r="E3313" i="3"/>
  <c r="E3314" i="3"/>
  <c r="E3315" i="3"/>
  <c r="E3316" i="3"/>
  <c r="E3317" i="3"/>
  <c r="E3318" i="3"/>
  <c r="E3319" i="3"/>
  <c r="E3320" i="3"/>
  <c r="E3321" i="3"/>
  <c r="E3322" i="3"/>
  <c r="E3323" i="3"/>
  <c r="E3324" i="3"/>
  <c r="E3325" i="3"/>
  <c r="E3326" i="3"/>
  <c r="E3327" i="3"/>
  <c r="E3328" i="3"/>
  <c r="E3329" i="3"/>
  <c r="E3330" i="3"/>
  <c r="E3331" i="3"/>
  <c r="E3332" i="3"/>
  <c r="E3333" i="3"/>
  <c r="E3334" i="3"/>
  <c r="E3335" i="3"/>
  <c r="E3336" i="3"/>
  <c r="E3337" i="3"/>
  <c r="E3338" i="3"/>
  <c r="E3339" i="3"/>
  <c r="E3340" i="3"/>
  <c r="E3341" i="3"/>
  <c r="E3342" i="3"/>
  <c r="E3343" i="3"/>
  <c r="E3344" i="3"/>
  <c r="E3345" i="3"/>
  <c r="E3346" i="3"/>
  <c r="E3347" i="3"/>
  <c r="E3348" i="3"/>
  <c r="E3349" i="3"/>
  <c r="E3350" i="3"/>
  <c r="E3351" i="3"/>
  <c r="E3352" i="3"/>
  <c r="E3353" i="3"/>
  <c r="E3354" i="3"/>
  <c r="E3355" i="3"/>
  <c r="E3356" i="3"/>
  <c r="E3357" i="3"/>
  <c r="E3358" i="3"/>
  <c r="E3359" i="3"/>
  <c r="E3360" i="3"/>
  <c r="E3361" i="3"/>
  <c r="E3362" i="3"/>
  <c r="E3363" i="3"/>
  <c r="E3364" i="3"/>
  <c r="E3365" i="3"/>
  <c r="E3366" i="3"/>
  <c r="E3367" i="3"/>
  <c r="E3368" i="3"/>
  <c r="E3369" i="3"/>
  <c r="E3370" i="3"/>
  <c r="E3371" i="3"/>
  <c r="E3372" i="3"/>
  <c r="E3373" i="3"/>
  <c r="E3374" i="3"/>
  <c r="E3375" i="3"/>
  <c r="E3376" i="3"/>
  <c r="E3377" i="3"/>
  <c r="E3378" i="3"/>
  <c r="E3379" i="3"/>
  <c r="E3380" i="3"/>
  <c r="E3381" i="3"/>
  <c r="E3382" i="3"/>
  <c r="E3383" i="3"/>
  <c r="E3384" i="3"/>
  <c r="E3385" i="3"/>
  <c r="E3386" i="3"/>
  <c r="E3387" i="3"/>
  <c r="E3388" i="3"/>
  <c r="E3389" i="3"/>
  <c r="E3390" i="3"/>
  <c r="E3391" i="3"/>
  <c r="E3392" i="3"/>
  <c r="E3393" i="3"/>
  <c r="E3394" i="3"/>
  <c r="E3395" i="3"/>
  <c r="E3396" i="3"/>
  <c r="E3397" i="3"/>
  <c r="E3398" i="3"/>
  <c r="E3399" i="3"/>
  <c r="E3400" i="3"/>
  <c r="E3401" i="3"/>
  <c r="E3402" i="3"/>
  <c r="E3403" i="3"/>
  <c r="E3404" i="3"/>
  <c r="E3405" i="3"/>
  <c r="E3406" i="3"/>
  <c r="E3407" i="3"/>
  <c r="E3408" i="3"/>
  <c r="E3409" i="3"/>
  <c r="E3410" i="3"/>
  <c r="E3411" i="3"/>
  <c r="E3412" i="3"/>
  <c r="E3413" i="3"/>
  <c r="E3414" i="3"/>
  <c r="E3415" i="3"/>
  <c r="E3416" i="3"/>
  <c r="E3417" i="3"/>
  <c r="E3418" i="3"/>
  <c r="E3419" i="3"/>
  <c r="E3420" i="3"/>
  <c r="E3421" i="3"/>
  <c r="E3422" i="3"/>
  <c r="E3423" i="3"/>
  <c r="E3424" i="3"/>
  <c r="E3425" i="3"/>
  <c r="E3426" i="3"/>
  <c r="E3427" i="3"/>
  <c r="E3428" i="3"/>
  <c r="E3429" i="3"/>
  <c r="E3430" i="3"/>
  <c r="E3431" i="3"/>
  <c r="E3432" i="3"/>
  <c r="E3433" i="3"/>
  <c r="E3434" i="3"/>
  <c r="E3435" i="3"/>
  <c r="E3436" i="3"/>
  <c r="E3437" i="3"/>
  <c r="E3438" i="3"/>
  <c r="E3439" i="3"/>
  <c r="E3440" i="3"/>
  <c r="E3441" i="3"/>
  <c r="E3442" i="3"/>
  <c r="E3443" i="3"/>
  <c r="E3444" i="3"/>
  <c r="E3445" i="3"/>
  <c r="E3446" i="3"/>
  <c r="E3447" i="3"/>
  <c r="E3448" i="3"/>
  <c r="E3449" i="3"/>
  <c r="E3450" i="3"/>
  <c r="E3451" i="3"/>
  <c r="E3452" i="3"/>
  <c r="E3453" i="3"/>
  <c r="E3454" i="3"/>
  <c r="E3455" i="3"/>
  <c r="E3456" i="3"/>
  <c r="E3457" i="3"/>
  <c r="E3458" i="3"/>
  <c r="E3459" i="3"/>
  <c r="E3460" i="3"/>
  <c r="E3461" i="3"/>
  <c r="E3462" i="3"/>
  <c r="E3463" i="3"/>
  <c r="E3464" i="3"/>
  <c r="E3465" i="3"/>
  <c r="E3466" i="3"/>
  <c r="E3467" i="3"/>
  <c r="E3468" i="3"/>
  <c r="E3469" i="3"/>
  <c r="E3470" i="3"/>
  <c r="E3471" i="3"/>
  <c r="E3472" i="3"/>
  <c r="E3473" i="3"/>
  <c r="E3474" i="3"/>
  <c r="E3475" i="3"/>
  <c r="E3476" i="3"/>
  <c r="E3477" i="3"/>
  <c r="E3478" i="3"/>
  <c r="E3479" i="3"/>
  <c r="E3480" i="3"/>
  <c r="E3481" i="3"/>
  <c r="E3482" i="3"/>
  <c r="E3483" i="3"/>
  <c r="E3484" i="3"/>
  <c r="E3485" i="3"/>
  <c r="E3486" i="3"/>
  <c r="E3487" i="3"/>
  <c r="E3488" i="3"/>
  <c r="E3489" i="3"/>
  <c r="E3490" i="3"/>
  <c r="E3491" i="3"/>
  <c r="E3492" i="3"/>
  <c r="E3493" i="3"/>
  <c r="E3494" i="3"/>
  <c r="E3495" i="3"/>
  <c r="E3496" i="3"/>
  <c r="E3497" i="3"/>
  <c r="E3498" i="3"/>
  <c r="E3499" i="3"/>
  <c r="E3500" i="3"/>
  <c r="E3501" i="3"/>
  <c r="E3502" i="3"/>
  <c r="E3503" i="3"/>
  <c r="E3504" i="3"/>
  <c r="E3505" i="3"/>
  <c r="E3506" i="3"/>
  <c r="E3507" i="3"/>
  <c r="E3508" i="3"/>
  <c r="E3509" i="3"/>
  <c r="E3510" i="3"/>
  <c r="E3511" i="3"/>
  <c r="E3512" i="3"/>
  <c r="E3513" i="3"/>
  <c r="E3514" i="3"/>
  <c r="E3515" i="3"/>
  <c r="E3516" i="3"/>
  <c r="E3517" i="3"/>
  <c r="E3518" i="3"/>
  <c r="E3519" i="3"/>
  <c r="E3520" i="3"/>
  <c r="E3521" i="3"/>
  <c r="E3522" i="3"/>
  <c r="E3523" i="3"/>
  <c r="E3524" i="3"/>
  <c r="E3525" i="3"/>
  <c r="E3526" i="3"/>
  <c r="E3527" i="3"/>
  <c r="E3528" i="3"/>
  <c r="E3529" i="3"/>
  <c r="E3530" i="3"/>
  <c r="E3531" i="3"/>
  <c r="E3532" i="3"/>
  <c r="E3533" i="3"/>
  <c r="E3534" i="3"/>
  <c r="E3535" i="3"/>
  <c r="E3536" i="3"/>
  <c r="E3537" i="3"/>
  <c r="E3538" i="3"/>
  <c r="E3539" i="3"/>
  <c r="E3540" i="3"/>
  <c r="E3541" i="3"/>
  <c r="E3542" i="3"/>
  <c r="E3543" i="3"/>
  <c r="E3544" i="3"/>
  <c r="E3545" i="3"/>
  <c r="E3546" i="3"/>
  <c r="E3547" i="3"/>
  <c r="E3548" i="3"/>
  <c r="E3549" i="3"/>
  <c r="E3550" i="3"/>
  <c r="E3551" i="3"/>
  <c r="E3552" i="3"/>
  <c r="E3553" i="3"/>
  <c r="E3554" i="3"/>
  <c r="E3555" i="3"/>
  <c r="E3556" i="3"/>
  <c r="E3557" i="3"/>
  <c r="E3558" i="3"/>
  <c r="E3559" i="3"/>
  <c r="E3560" i="3"/>
  <c r="E3561" i="3"/>
  <c r="E3562" i="3"/>
  <c r="E3563" i="3"/>
  <c r="E3564" i="3"/>
  <c r="E3565" i="3"/>
  <c r="E3566" i="3"/>
  <c r="E3567" i="3"/>
  <c r="E3568" i="3"/>
  <c r="E3569" i="3"/>
  <c r="E3570" i="3"/>
  <c r="E3571" i="3"/>
  <c r="E3572" i="3"/>
  <c r="E3573" i="3"/>
  <c r="E3574" i="3"/>
  <c r="E3575" i="3"/>
  <c r="E3576" i="3"/>
  <c r="E3577" i="3"/>
  <c r="E3578" i="3"/>
  <c r="E3579" i="3"/>
  <c r="E3580" i="3"/>
  <c r="E3581" i="3"/>
  <c r="E3582" i="3"/>
  <c r="E3583" i="3"/>
  <c r="E3584" i="3"/>
  <c r="E3585" i="3"/>
  <c r="E3586" i="3"/>
  <c r="E3587" i="3"/>
  <c r="E3588" i="3"/>
  <c r="E3589" i="3"/>
  <c r="E3590" i="3"/>
  <c r="E3591" i="3"/>
  <c r="E3592" i="3"/>
  <c r="E3593" i="3"/>
  <c r="E3594" i="3"/>
  <c r="E3595" i="3"/>
  <c r="E3596" i="3"/>
  <c r="E3597" i="3"/>
  <c r="E3598" i="3"/>
  <c r="E3599" i="3"/>
  <c r="E3600" i="3"/>
  <c r="E3601" i="3"/>
  <c r="E3602" i="3"/>
  <c r="E3603" i="3"/>
  <c r="E3604" i="3"/>
  <c r="E3605" i="3"/>
  <c r="E3606" i="3"/>
  <c r="E3607" i="3"/>
  <c r="E3608" i="3"/>
  <c r="E3609" i="3"/>
  <c r="E3610" i="3"/>
  <c r="E3611" i="3"/>
  <c r="E3612" i="3"/>
  <c r="E3613" i="3"/>
  <c r="E3614" i="3"/>
  <c r="E3615" i="3"/>
  <c r="E3616" i="3"/>
  <c r="E3617" i="3"/>
  <c r="E3618" i="3"/>
  <c r="E3619" i="3"/>
  <c r="E3620" i="3"/>
  <c r="E3621" i="3"/>
  <c r="E3622" i="3"/>
  <c r="E3623" i="3"/>
  <c r="E3624" i="3"/>
  <c r="E3625" i="3"/>
  <c r="E3626" i="3"/>
  <c r="E3627" i="3"/>
  <c r="E3628" i="3"/>
  <c r="E3629" i="3"/>
  <c r="E3630" i="3"/>
  <c r="E3631" i="3"/>
  <c r="E3632" i="3"/>
  <c r="E3633" i="3"/>
  <c r="E3634" i="3"/>
  <c r="E3635" i="3"/>
  <c r="E3636" i="3"/>
  <c r="E3637" i="3"/>
  <c r="E3638" i="3"/>
  <c r="E3639" i="3"/>
  <c r="E3640" i="3"/>
  <c r="E3641" i="3"/>
  <c r="E3642" i="3"/>
  <c r="E3643" i="3"/>
  <c r="E3644" i="3"/>
  <c r="E3645" i="3"/>
  <c r="E3646" i="3"/>
  <c r="E3647" i="3"/>
  <c r="E3648" i="3"/>
  <c r="E3649" i="3"/>
  <c r="E3650" i="3"/>
  <c r="E3651" i="3"/>
  <c r="E3652" i="3"/>
  <c r="E3653" i="3"/>
  <c r="E3654" i="3"/>
  <c r="E3655" i="3"/>
  <c r="E3656" i="3"/>
  <c r="E3657" i="3"/>
  <c r="E3658" i="3"/>
  <c r="E3659" i="3"/>
  <c r="E3660" i="3"/>
  <c r="E3661" i="3"/>
  <c r="E3662" i="3"/>
  <c r="E3663" i="3"/>
  <c r="E3664" i="3"/>
  <c r="E3665" i="3"/>
  <c r="E3666" i="3"/>
  <c r="E3667" i="3"/>
  <c r="E3668" i="3"/>
  <c r="E3669" i="3"/>
  <c r="E3670" i="3"/>
  <c r="E3671" i="3"/>
  <c r="E3672" i="3"/>
  <c r="E3673" i="3"/>
  <c r="E3674" i="3"/>
  <c r="E3675" i="3"/>
  <c r="E3676" i="3"/>
  <c r="E3677" i="3"/>
  <c r="E3678" i="3"/>
  <c r="E3679" i="3"/>
  <c r="E3680" i="3"/>
  <c r="E3681" i="3"/>
  <c r="E3682" i="3"/>
  <c r="E3683" i="3"/>
  <c r="E3684" i="3"/>
  <c r="E3685" i="3"/>
  <c r="E3686" i="3"/>
  <c r="E3687" i="3"/>
  <c r="E3688" i="3"/>
  <c r="E3689" i="3"/>
  <c r="E3690" i="3"/>
  <c r="E3691" i="3"/>
  <c r="E3692" i="3"/>
  <c r="E3693" i="3"/>
  <c r="E3694" i="3"/>
  <c r="E3695" i="3"/>
  <c r="E3696" i="3"/>
  <c r="E3697" i="3"/>
  <c r="E3698" i="3"/>
  <c r="E3699" i="3"/>
  <c r="E3700" i="3"/>
  <c r="E3701" i="3"/>
  <c r="E3702" i="3"/>
  <c r="E3703" i="3"/>
  <c r="E3704" i="3"/>
  <c r="E3705" i="3"/>
  <c r="E3706" i="3"/>
  <c r="E3707" i="3"/>
  <c r="E3708" i="3"/>
  <c r="E3709" i="3"/>
  <c r="E3710" i="3"/>
  <c r="E3711" i="3"/>
  <c r="E3712" i="3"/>
  <c r="E3713" i="3"/>
  <c r="E3714" i="3"/>
  <c r="E3715" i="3"/>
  <c r="E3716" i="3"/>
  <c r="E3717" i="3"/>
  <c r="E3718" i="3"/>
  <c r="E3719" i="3"/>
  <c r="E3720" i="3"/>
  <c r="E3721" i="3"/>
  <c r="E3722" i="3"/>
  <c r="E3723" i="3"/>
  <c r="E3724" i="3"/>
  <c r="E3725" i="3"/>
  <c r="E3726" i="3"/>
  <c r="E3727" i="3"/>
  <c r="E3728" i="3"/>
  <c r="E3729" i="3"/>
  <c r="E3730" i="3"/>
  <c r="E3731" i="3"/>
  <c r="E3732" i="3"/>
  <c r="E3733" i="3"/>
  <c r="E3734" i="3"/>
  <c r="E3735" i="3"/>
  <c r="E3736" i="3"/>
  <c r="E3737" i="3"/>
  <c r="E3738" i="3"/>
  <c r="E3739" i="3"/>
  <c r="E3740" i="3"/>
  <c r="E3741" i="3"/>
  <c r="E3742" i="3"/>
  <c r="E3743" i="3"/>
  <c r="E3744" i="3"/>
  <c r="E3745" i="3"/>
  <c r="E3746" i="3"/>
  <c r="E3747" i="3"/>
  <c r="E3748" i="3"/>
  <c r="E3749" i="3"/>
  <c r="E3750" i="3"/>
  <c r="E3751" i="3"/>
  <c r="E3752" i="3"/>
  <c r="E3753" i="3"/>
  <c r="E3754" i="3"/>
  <c r="E3755" i="3"/>
  <c r="E3756" i="3"/>
  <c r="E3757" i="3"/>
  <c r="E3758" i="3"/>
  <c r="E3759" i="3"/>
  <c r="E3760" i="3"/>
  <c r="E3761" i="3"/>
  <c r="E3762" i="3"/>
  <c r="E3763" i="3"/>
  <c r="E3764" i="3"/>
  <c r="E3765" i="3"/>
  <c r="E3766" i="3"/>
  <c r="E3767" i="3"/>
  <c r="E3768" i="3"/>
  <c r="E3769" i="3"/>
  <c r="E3770" i="3"/>
  <c r="E3771" i="3"/>
  <c r="E3772" i="3"/>
  <c r="E3773" i="3"/>
  <c r="E3774" i="3"/>
  <c r="E3775" i="3"/>
  <c r="E3776" i="3"/>
  <c r="E3777" i="3"/>
  <c r="E3778" i="3"/>
  <c r="E3779" i="3"/>
  <c r="E3780" i="3"/>
  <c r="E3781" i="3"/>
  <c r="E3782" i="3"/>
  <c r="E3783" i="3"/>
  <c r="E3784" i="3"/>
  <c r="E3785" i="3"/>
  <c r="E3786" i="3"/>
  <c r="E3787" i="3"/>
  <c r="E3788" i="3"/>
  <c r="E3789" i="3"/>
  <c r="E3790" i="3"/>
  <c r="E3791" i="3"/>
  <c r="E3792" i="3"/>
  <c r="E3793" i="3"/>
  <c r="E3794" i="3"/>
  <c r="E3795" i="3"/>
  <c r="E3796" i="3"/>
  <c r="E3797" i="3"/>
  <c r="E3798" i="3"/>
  <c r="E3799" i="3"/>
  <c r="E3800" i="3"/>
  <c r="E3801" i="3"/>
  <c r="E3802" i="3"/>
  <c r="E3803" i="3"/>
  <c r="E3804" i="3"/>
  <c r="E3805" i="3"/>
  <c r="E3806" i="3"/>
  <c r="E3807" i="3"/>
  <c r="E3808" i="3"/>
  <c r="E3809" i="3"/>
  <c r="E3810" i="3"/>
  <c r="E3811" i="3"/>
  <c r="E3812" i="3"/>
  <c r="E3813" i="3"/>
  <c r="E3814" i="3"/>
  <c r="E3815" i="3"/>
  <c r="E3816" i="3"/>
  <c r="E3817" i="3"/>
  <c r="E3818" i="3"/>
  <c r="E3819" i="3"/>
  <c r="E3820" i="3"/>
  <c r="E3821" i="3"/>
  <c r="E3822" i="3"/>
  <c r="E3823" i="3"/>
  <c r="E3824" i="3"/>
  <c r="E3825" i="3"/>
  <c r="E3826" i="3"/>
  <c r="E3827" i="3"/>
  <c r="E3828" i="3"/>
  <c r="E3829" i="3"/>
  <c r="E3830" i="3"/>
  <c r="E3831" i="3"/>
  <c r="E3832" i="3"/>
  <c r="E3833" i="3"/>
  <c r="E3834" i="3"/>
  <c r="E3835" i="3"/>
  <c r="E3836" i="3"/>
  <c r="E3837" i="3"/>
  <c r="E3838" i="3"/>
  <c r="E3839" i="3"/>
  <c r="E3840" i="3"/>
  <c r="E3841" i="3"/>
  <c r="E3842" i="3"/>
  <c r="E3843" i="3"/>
  <c r="E3844" i="3"/>
  <c r="E3845" i="3"/>
  <c r="E3846" i="3"/>
  <c r="E3847" i="3"/>
  <c r="E3848" i="3"/>
  <c r="E3849" i="3"/>
  <c r="E3850" i="3"/>
  <c r="E3851" i="3"/>
  <c r="E3852" i="3"/>
  <c r="E3853" i="3"/>
  <c r="E3854" i="3"/>
  <c r="E3855" i="3"/>
  <c r="E3856" i="3"/>
  <c r="E3857" i="3"/>
  <c r="E3858" i="3"/>
  <c r="E3859" i="3"/>
  <c r="E3860" i="3"/>
  <c r="E3861" i="3"/>
  <c r="E3862" i="3"/>
  <c r="E3863" i="3"/>
  <c r="E3864" i="3"/>
  <c r="E3865" i="3"/>
  <c r="E3866" i="3"/>
  <c r="E3867" i="3"/>
  <c r="E3868" i="3"/>
  <c r="E3869" i="3"/>
  <c r="E3870" i="3"/>
  <c r="E3871" i="3"/>
  <c r="E3872" i="3"/>
  <c r="E3873" i="3"/>
  <c r="E3874" i="3"/>
  <c r="E3875" i="3"/>
  <c r="E3876" i="3"/>
  <c r="E3877" i="3"/>
  <c r="E3878" i="3"/>
  <c r="E3879" i="3"/>
  <c r="E3880" i="3"/>
  <c r="E3881" i="3"/>
  <c r="E3882" i="3"/>
  <c r="E3883" i="3"/>
  <c r="E3884" i="3"/>
  <c r="E3885" i="3"/>
  <c r="E3886" i="3"/>
  <c r="E3887" i="3"/>
  <c r="E3888" i="3"/>
  <c r="E3889" i="3"/>
  <c r="E3890" i="3"/>
  <c r="E3891" i="3"/>
  <c r="E3892" i="3"/>
  <c r="E3893" i="3"/>
  <c r="E3894" i="3"/>
  <c r="E3895" i="3"/>
  <c r="E3896" i="3"/>
  <c r="E3897" i="3"/>
  <c r="E3898" i="3"/>
  <c r="E3899" i="3"/>
  <c r="E3900" i="3"/>
  <c r="E3901" i="3"/>
  <c r="E3902" i="3"/>
  <c r="E3903" i="3"/>
  <c r="E3904" i="3"/>
  <c r="E3905" i="3"/>
  <c r="E3906" i="3"/>
  <c r="E3907" i="3"/>
  <c r="E3908" i="3"/>
  <c r="E3909" i="3"/>
  <c r="E3910" i="3"/>
  <c r="E3911" i="3"/>
  <c r="E3912" i="3"/>
  <c r="E3913" i="3"/>
  <c r="E3914" i="3"/>
  <c r="E3915" i="3"/>
  <c r="E3916" i="3"/>
  <c r="E3917" i="3"/>
  <c r="E3918" i="3"/>
  <c r="E3919" i="3"/>
  <c r="E3920" i="3"/>
  <c r="E3921" i="3"/>
  <c r="E3922" i="3"/>
  <c r="E3923" i="3"/>
  <c r="E3924" i="3"/>
  <c r="E3925" i="3"/>
  <c r="E3926" i="3"/>
  <c r="E3927" i="3"/>
  <c r="E3928" i="3"/>
  <c r="E3929" i="3"/>
  <c r="E3930" i="3"/>
  <c r="E3931" i="3"/>
  <c r="E3932" i="3"/>
  <c r="E3933" i="3"/>
  <c r="E3934" i="3"/>
  <c r="E3935" i="3"/>
  <c r="E3936" i="3"/>
  <c r="E3937" i="3"/>
  <c r="E3938" i="3"/>
  <c r="E3939" i="3"/>
  <c r="E3940" i="3"/>
  <c r="E3941" i="3"/>
  <c r="E3942" i="3"/>
  <c r="E3943" i="3"/>
  <c r="E3944" i="3"/>
  <c r="E3945" i="3"/>
  <c r="E3946" i="3"/>
  <c r="E3947" i="3"/>
  <c r="E3948" i="3"/>
  <c r="E3949" i="3"/>
  <c r="E3950" i="3"/>
  <c r="E3951" i="3"/>
  <c r="E3952" i="3"/>
  <c r="E3953" i="3"/>
  <c r="E3954" i="3"/>
  <c r="E3955" i="3"/>
  <c r="E3956" i="3"/>
  <c r="E3957" i="3"/>
  <c r="E3958" i="3"/>
  <c r="E3959" i="3"/>
  <c r="E3960" i="3"/>
  <c r="E3961" i="3"/>
  <c r="E3962" i="3"/>
  <c r="E3963" i="3"/>
  <c r="E3964" i="3"/>
  <c r="E3965" i="3"/>
  <c r="E3966" i="3"/>
  <c r="E3967" i="3"/>
  <c r="E3968" i="3"/>
  <c r="E3969" i="3"/>
  <c r="E3970" i="3"/>
  <c r="E3971" i="3"/>
  <c r="E3972" i="3"/>
  <c r="E3973" i="3"/>
  <c r="E3974" i="3"/>
  <c r="E3975" i="3"/>
  <c r="E3976" i="3"/>
  <c r="E3977" i="3"/>
  <c r="E3978" i="3"/>
  <c r="E3979" i="3"/>
  <c r="E3980" i="3"/>
  <c r="E3981" i="3"/>
  <c r="E3982" i="3"/>
  <c r="E3983" i="3"/>
  <c r="E3984" i="3"/>
  <c r="E3985" i="3"/>
  <c r="E3986" i="3"/>
  <c r="E3987" i="3"/>
  <c r="E3988" i="3"/>
  <c r="E3989" i="3"/>
  <c r="E3990" i="3"/>
  <c r="E3991" i="3"/>
  <c r="E3992" i="3"/>
  <c r="E3993" i="3"/>
  <c r="E3994" i="3"/>
  <c r="E3995" i="3"/>
  <c r="E3996" i="3"/>
  <c r="E3997" i="3"/>
  <c r="E3998" i="3"/>
  <c r="E3999" i="3"/>
  <c r="E4000" i="3"/>
  <c r="E4001" i="3"/>
  <c r="E4002" i="3"/>
  <c r="E4003" i="3"/>
  <c r="E4004" i="3"/>
  <c r="E4005" i="3"/>
  <c r="E4006" i="3"/>
  <c r="E4007" i="3"/>
  <c r="E4008" i="3"/>
  <c r="E4009" i="3"/>
  <c r="E4010" i="3"/>
  <c r="E4011" i="3"/>
  <c r="E4012" i="3"/>
  <c r="E4013" i="3"/>
  <c r="E4014" i="3"/>
  <c r="E4015" i="3"/>
  <c r="E4016" i="3"/>
  <c r="E4017" i="3"/>
  <c r="E4018" i="3"/>
  <c r="E4019" i="3"/>
  <c r="E4020" i="3"/>
  <c r="E4021" i="3"/>
  <c r="E4022" i="3"/>
  <c r="E4023" i="3"/>
  <c r="E4024" i="3"/>
  <c r="E4025" i="3"/>
  <c r="E4026" i="3"/>
  <c r="E4027" i="3"/>
  <c r="E4028" i="3"/>
  <c r="E4029" i="3"/>
  <c r="E4030" i="3"/>
  <c r="E4031" i="3"/>
  <c r="E4032" i="3"/>
  <c r="E4033" i="3"/>
  <c r="E4034" i="3"/>
  <c r="E4035" i="3"/>
  <c r="E4036" i="3"/>
  <c r="E4037" i="3"/>
  <c r="E4038" i="3"/>
  <c r="E4039" i="3"/>
  <c r="E4040" i="3"/>
  <c r="E4041" i="3"/>
  <c r="E4042" i="3"/>
  <c r="E4043" i="3"/>
  <c r="E4044" i="3"/>
  <c r="E4045" i="3"/>
  <c r="E4046" i="3"/>
  <c r="E4047" i="3"/>
  <c r="E4048" i="3"/>
  <c r="E4049" i="3"/>
  <c r="E4050" i="3"/>
  <c r="E4051" i="3"/>
  <c r="E4052" i="3"/>
  <c r="E4053" i="3"/>
  <c r="E4054" i="3"/>
  <c r="E4055" i="3"/>
  <c r="E4056" i="3"/>
  <c r="E4057" i="3"/>
  <c r="E4058" i="3"/>
  <c r="E4059" i="3"/>
  <c r="E4060" i="3"/>
  <c r="E4061" i="3"/>
  <c r="E4062" i="3"/>
  <c r="E4063" i="3"/>
  <c r="E4064" i="3"/>
  <c r="E4065" i="3"/>
  <c r="E4066" i="3"/>
  <c r="E4067" i="3"/>
  <c r="E4068" i="3"/>
  <c r="E4069" i="3"/>
  <c r="E4070" i="3"/>
  <c r="E4071" i="3"/>
  <c r="E4072" i="3"/>
  <c r="E4073" i="3"/>
  <c r="E4074" i="3"/>
  <c r="E4075" i="3"/>
  <c r="E4076" i="3"/>
  <c r="E4077" i="3"/>
  <c r="E4078" i="3"/>
  <c r="E4079" i="3"/>
  <c r="E4080" i="3"/>
  <c r="E4081" i="3"/>
  <c r="E4082" i="3"/>
  <c r="E4083" i="3"/>
  <c r="E4084" i="3"/>
  <c r="E4085" i="3"/>
  <c r="E4086" i="3"/>
  <c r="E4087" i="3"/>
  <c r="E4088" i="3"/>
  <c r="E4089" i="3"/>
  <c r="E4090" i="3"/>
  <c r="E4091" i="3"/>
  <c r="E4092" i="3"/>
  <c r="E4093" i="3"/>
  <c r="E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D1044" i="3"/>
  <c r="D1045" i="3"/>
  <c r="D1046" i="3"/>
  <c r="D1047" i="3"/>
  <c r="D1048" i="3"/>
  <c r="D1049" i="3"/>
  <c r="D1050" i="3"/>
  <c r="D1051" i="3"/>
  <c r="D1052" i="3"/>
  <c r="D1053" i="3"/>
  <c r="D1054" i="3"/>
  <c r="D1055" i="3"/>
  <c r="D1056" i="3"/>
  <c r="D1057" i="3"/>
  <c r="D1058" i="3"/>
  <c r="D1059" i="3"/>
  <c r="D1060" i="3"/>
  <c r="D1061" i="3"/>
  <c r="D1062" i="3"/>
  <c r="D1063" i="3"/>
  <c r="D1064" i="3"/>
  <c r="D1065" i="3"/>
  <c r="D1066" i="3"/>
  <c r="D1067" i="3"/>
  <c r="D1068" i="3"/>
  <c r="D1069" i="3"/>
  <c r="D1070" i="3"/>
  <c r="D1071" i="3"/>
  <c r="D1072" i="3"/>
  <c r="D1073" i="3"/>
  <c r="D1074" i="3"/>
  <c r="D1075" i="3"/>
  <c r="D1076" i="3"/>
  <c r="D1077" i="3"/>
  <c r="D1078" i="3"/>
  <c r="D1079" i="3"/>
  <c r="D1080" i="3"/>
  <c r="D1081" i="3"/>
  <c r="D1082" i="3"/>
  <c r="D1083" i="3"/>
  <c r="D1084" i="3"/>
  <c r="D1085" i="3"/>
  <c r="D1086" i="3"/>
  <c r="D1087" i="3"/>
  <c r="D1088" i="3"/>
  <c r="D1089" i="3"/>
  <c r="D1090" i="3"/>
  <c r="D1091" i="3"/>
  <c r="D1092" i="3"/>
  <c r="D1093" i="3"/>
  <c r="D1094" i="3"/>
  <c r="D1095" i="3"/>
  <c r="D1096" i="3"/>
  <c r="D1097" i="3"/>
  <c r="D1098" i="3"/>
  <c r="D1099" i="3"/>
  <c r="D1100" i="3"/>
  <c r="D1101" i="3"/>
  <c r="D1102" i="3"/>
  <c r="D1103" i="3"/>
  <c r="D1104" i="3"/>
  <c r="D1105" i="3"/>
  <c r="D1106" i="3"/>
  <c r="D1107" i="3"/>
  <c r="D1108" i="3"/>
  <c r="D1109" i="3"/>
  <c r="D1110" i="3"/>
  <c r="D1111" i="3"/>
  <c r="D1112" i="3"/>
  <c r="D1113" i="3"/>
  <c r="D1114" i="3"/>
  <c r="D1115" i="3"/>
  <c r="D1116" i="3"/>
  <c r="D1117" i="3"/>
  <c r="D1118" i="3"/>
  <c r="D1119" i="3"/>
  <c r="D1120" i="3"/>
  <c r="D1121" i="3"/>
  <c r="D1122" i="3"/>
  <c r="D1123" i="3"/>
  <c r="D1124" i="3"/>
  <c r="D1125" i="3"/>
  <c r="D1126" i="3"/>
  <c r="D1127" i="3"/>
  <c r="D1128" i="3"/>
  <c r="D1129" i="3"/>
  <c r="D1130" i="3"/>
  <c r="D1131" i="3"/>
  <c r="D1132" i="3"/>
  <c r="D1133" i="3"/>
  <c r="D1134" i="3"/>
  <c r="D1135" i="3"/>
  <c r="D1136" i="3"/>
  <c r="D1137" i="3"/>
  <c r="D1138" i="3"/>
  <c r="D1139" i="3"/>
  <c r="D1140" i="3"/>
  <c r="D1141" i="3"/>
  <c r="D1142" i="3"/>
  <c r="D1143" i="3"/>
  <c r="D1144" i="3"/>
  <c r="D1145" i="3"/>
  <c r="D1146" i="3"/>
  <c r="D1147" i="3"/>
  <c r="D1148" i="3"/>
  <c r="D1149" i="3"/>
  <c r="D1150" i="3"/>
  <c r="D1151" i="3"/>
  <c r="D1152" i="3"/>
  <c r="D1153" i="3"/>
  <c r="D1154" i="3"/>
  <c r="D1155" i="3"/>
  <c r="D1156" i="3"/>
  <c r="D1157" i="3"/>
  <c r="D1158" i="3"/>
  <c r="D1159" i="3"/>
  <c r="D1160" i="3"/>
  <c r="D1161" i="3"/>
  <c r="D1162" i="3"/>
  <c r="D1163" i="3"/>
  <c r="D1164" i="3"/>
  <c r="D1165" i="3"/>
  <c r="D1166" i="3"/>
  <c r="D1167" i="3"/>
  <c r="D1168" i="3"/>
  <c r="D1169" i="3"/>
  <c r="D1170" i="3"/>
  <c r="D1171" i="3"/>
  <c r="D1172" i="3"/>
  <c r="D1173" i="3"/>
  <c r="D1174" i="3"/>
  <c r="D1175" i="3"/>
  <c r="D1176" i="3"/>
  <c r="D1177" i="3"/>
  <c r="D1178" i="3"/>
  <c r="D1179" i="3"/>
  <c r="D1180" i="3"/>
  <c r="D1181" i="3"/>
  <c r="D1182" i="3"/>
  <c r="D1183" i="3"/>
  <c r="D1184" i="3"/>
  <c r="D1185" i="3"/>
  <c r="D1186" i="3"/>
  <c r="D1187" i="3"/>
  <c r="D1188" i="3"/>
  <c r="D1189" i="3"/>
  <c r="D1190" i="3"/>
  <c r="D1191" i="3"/>
  <c r="D1192" i="3"/>
  <c r="D1193" i="3"/>
  <c r="D1194" i="3"/>
  <c r="D1195" i="3"/>
  <c r="D1196" i="3"/>
  <c r="D1197" i="3"/>
  <c r="D1198" i="3"/>
  <c r="D1199" i="3"/>
  <c r="D1200" i="3"/>
  <c r="D1201" i="3"/>
  <c r="D1202" i="3"/>
  <c r="D1203" i="3"/>
  <c r="D1204" i="3"/>
  <c r="D1205" i="3"/>
  <c r="D1206" i="3"/>
  <c r="D1207" i="3"/>
  <c r="D1208" i="3"/>
  <c r="D1209" i="3"/>
  <c r="D1210" i="3"/>
  <c r="D1211" i="3"/>
  <c r="D1212" i="3"/>
  <c r="D1213" i="3"/>
  <c r="D1214" i="3"/>
  <c r="D1215" i="3"/>
  <c r="D1216" i="3"/>
  <c r="D1217" i="3"/>
  <c r="D1218" i="3"/>
  <c r="D1219" i="3"/>
  <c r="D1220" i="3"/>
  <c r="D1221" i="3"/>
  <c r="D1222" i="3"/>
  <c r="D1223" i="3"/>
  <c r="D1224" i="3"/>
  <c r="D1225" i="3"/>
  <c r="D1226" i="3"/>
  <c r="D1227" i="3"/>
  <c r="D1228" i="3"/>
  <c r="D1229" i="3"/>
  <c r="D1230" i="3"/>
  <c r="D1231" i="3"/>
  <c r="D1232" i="3"/>
  <c r="D1233" i="3"/>
  <c r="D1234" i="3"/>
  <c r="D1235" i="3"/>
  <c r="D1236" i="3"/>
  <c r="D1237" i="3"/>
  <c r="D1238" i="3"/>
  <c r="D1239" i="3"/>
  <c r="D1240" i="3"/>
  <c r="D1241" i="3"/>
  <c r="D1242" i="3"/>
  <c r="D1243" i="3"/>
  <c r="D1244" i="3"/>
  <c r="D1245" i="3"/>
  <c r="D1246" i="3"/>
  <c r="D1247" i="3"/>
  <c r="D1248" i="3"/>
  <c r="D1249" i="3"/>
  <c r="D1250" i="3"/>
  <c r="D1251" i="3"/>
  <c r="D1252" i="3"/>
  <c r="D1253" i="3"/>
  <c r="D1254" i="3"/>
  <c r="D1255" i="3"/>
  <c r="D1256" i="3"/>
  <c r="D1257" i="3"/>
  <c r="D1258" i="3"/>
  <c r="D1259" i="3"/>
  <c r="D1260" i="3"/>
  <c r="D1261" i="3"/>
  <c r="D1262" i="3"/>
  <c r="D1263" i="3"/>
  <c r="D1264" i="3"/>
  <c r="D1265" i="3"/>
  <c r="D1266" i="3"/>
  <c r="D1267" i="3"/>
  <c r="D1268" i="3"/>
  <c r="D1269" i="3"/>
  <c r="D1270" i="3"/>
  <c r="D1271" i="3"/>
  <c r="D1272" i="3"/>
  <c r="D1273" i="3"/>
  <c r="D1274" i="3"/>
  <c r="D1275" i="3"/>
  <c r="D1276" i="3"/>
  <c r="D1277" i="3"/>
  <c r="D1278" i="3"/>
  <c r="D1279" i="3"/>
  <c r="D1280" i="3"/>
  <c r="D1281" i="3"/>
  <c r="D1282" i="3"/>
  <c r="D1283" i="3"/>
  <c r="D1284" i="3"/>
  <c r="D1285" i="3"/>
  <c r="D1286" i="3"/>
  <c r="D1287" i="3"/>
  <c r="D1288" i="3"/>
  <c r="D1289" i="3"/>
  <c r="D1290" i="3"/>
  <c r="D1291" i="3"/>
  <c r="D1292" i="3"/>
  <c r="D1293" i="3"/>
  <c r="D1294" i="3"/>
  <c r="D1295" i="3"/>
  <c r="D1296" i="3"/>
  <c r="D1297" i="3"/>
  <c r="D1298" i="3"/>
  <c r="D1299" i="3"/>
  <c r="D1300" i="3"/>
  <c r="D1301" i="3"/>
  <c r="D1302" i="3"/>
  <c r="D1303" i="3"/>
  <c r="D1304" i="3"/>
  <c r="D1305" i="3"/>
  <c r="D1306" i="3"/>
  <c r="D1307" i="3"/>
  <c r="D1308" i="3"/>
  <c r="D1309" i="3"/>
  <c r="D1310" i="3"/>
  <c r="D1311" i="3"/>
  <c r="D1312" i="3"/>
  <c r="D1313" i="3"/>
  <c r="D1314" i="3"/>
  <c r="D1315" i="3"/>
  <c r="D1316" i="3"/>
  <c r="D1317" i="3"/>
  <c r="D1318" i="3"/>
  <c r="D1319" i="3"/>
  <c r="D1320" i="3"/>
  <c r="D1321" i="3"/>
  <c r="D1322" i="3"/>
  <c r="D1323" i="3"/>
  <c r="D1324" i="3"/>
  <c r="D1325" i="3"/>
  <c r="D1326" i="3"/>
  <c r="D1327" i="3"/>
  <c r="D1328" i="3"/>
  <c r="D1329" i="3"/>
  <c r="D1330" i="3"/>
  <c r="D1331" i="3"/>
  <c r="D1332" i="3"/>
  <c r="D1333" i="3"/>
  <c r="D1334" i="3"/>
  <c r="D1335" i="3"/>
  <c r="D1336" i="3"/>
  <c r="D1337" i="3"/>
  <c r="D1338" i="3"/>
  <c r="D1339" i="3"/>
  <c r="D1340" i="3"/>
  <c r="D1341" i="3"/>
  <c r="D1342" i="3"/>
  <c r="D1343" i="3"/>
  <c r="D1344" i="3"/>
  <c r="D1345" i="3"/>
  <c r="D1346" i="3"/>
  <c r="D1347" i="3"/>
  <c r="D1348" i="3"/>
  <c r="D1349" i="3"/>
  <c r="D1350" i="3"/>
  <c r="D1351" i="3"/>
  <c r="D1352" i="3"/>
  <c r="D1353" i="3"/>
  <c r="D1354" i="3"/>
  <c r="D1355" i="3"/>
  <c r="D1356" i="3"/>
  <c r="D1357" i="3"/>
  <c r="D1358" i="3"/>
  <c r="D1359" i="3"/>
  <c r="D1360" i="3"/>
  <c r="D1361" i="3"/>
  <c r="D1362" i="3"/>
  <c r="D1363" i="3"/>
  <c r="D1364" i="3"/>
  <c r="D1365" i="3"/>
  <c r="D1366" i="3"/>
  <c r="D1367" i="3"/>
  <c r="D1368" i="3"/>
  <c r="D1369" i="3"/>
  <c r="D1370" i="3"/>
  <c r="D1371" i="3"/>
  <c r="D1372" i="3"/>
  <c r="D1373" i="3"/>
  <c r="D1374" i="3"/>
  <c r="D1375" i="3"/>
  <c r="D1376" i="3"/>
  <c r="D1377" i="3"/>
  <c r="D1378" i="3"/>
  <c r="D1379" i="3"/>
  <c r="D1380" i="3"/>
  <c r="D1381" i="3"/>
  <c r="D1382" i="3"/>
  <c r="D1383" i="3"/>
  <c r="D1384" i="3"/>
  <c r="D1385" i="3"/>
  <c r="D1386" i="3"/>
  <c r="D1387" i="3"/>
  <c r="D1388" i="3"/>
  <c r="D1389" i="3"/>
  <c r="D1390" i="3"/>
  <c r="D1391" i="3"/>
  <c r="D1392" i="3"/>
  <c r="D1393" i="3"/>
  <c r="D1394" i="3"/>
  <c r="D1395" i="3"/>
  <c r="D1396" i="3"/>
  <c r="D1397" i="3"/>
  <c r="D1398" i="3"/>
  <c r="D1399" i="3"/>
  <c r="D1400" i="3"/>
  <c r="D1401" i="3"/>
  <c r="D1402" i="3"/>
  <c r="D1403" i="3"/>
  <c r="D1404" i="3"/>
  <c r="D1405" i="3"/>
  <c r="D1406" i="3"/>
  <c r="D1407" i="3"/>
  <c r="D1408" i="3"/>
  <c r="D1409" i="3"/>
  <c r="D1410" i="3"/>
  <c r="D1411" i="3"/>
  <c r="D1412" i="3"/>
  <c r="D1413" i="3"/>
  <c r="D1414" i="3"/>
  <c r="D1415" i="3"/>
  <c r="D1416" i="3"/>
  <c r="D1417" i="3"/>
  <c r="D1418" i="3"/>
  <c r="D1419" i="3"/>
  <c r="D1420" i="3"/>
  <c r="D1421" i="3"/>
  <c r="D1422" i="3"/>
  <c r="D1423" i="3"/>
  <c r="D1424" i="3"/>
  <c r="D1425" i="3"/>
  <c r="D1426" i="3"/>
  <c r="D1427" i="3"/>
  <c r="D1428" i="3"/>
  <c r="D1429" i="3"/>
  <c r="D1430" i="3"/>
  <c r="D1431" i="3"/>
  <c r="D1432" i="3"/>
  <c r="D1433" i="3"/>
  <c r="D1434" i="3"/>
  <c r="D1435" i="3"/>
  <c r="D1436" i="3"/>
  <c r="D1437" i="3"/>
  <c r="D1438" i="3"/>
  <c r="D1439" i="3"/>
  <c r="D1440" i="3"/>
  <c r="D1441" i="3"/>
  <c r="D1442" i="3"/>
  <c r="D1443" i="3"/>
  <c r="D1444" i="3"/>
  <c r="D1445" i="3"/>
  <c r="D1446" i="3"/>
  <c r="D1447" i="3"/>
  <c r="D1448" i="3"/>
  <c r="D1449" i="3"/>
  <c r="D1450" i="3"/>
  <c r="D1451" i="3"/>
  <c r="D1452" i="3"/>
  <c r="D1453" i="3"/>
  <c r="D1454" i="3"/>
  <c r="D1455" i="3"/>
  <c r="D1456" i="3"/>
  <c r="D1457" i="3"/>
  <c r="D1458" i="3"/>
  <c r="D1459" i="3"/>
  <c r="D1460" i="3"/>
  <c r="D1461" i="3"/>
  <c r="D1462" i="3"/>
  <c r="D1463" i="3"/>
  <c r="D1464" i="3"/>
  <c r="D1465" i="3"/>
  <c r="D1466" i="3"/>
  <c r="D1467" i="3"/>
  <c r="D1468" i="3"/>
  <c r="D1469" i="3"/>
  <c r="D1470" i="3"/>
  <c r="D1471" i="3"/>
  <c r="D1472" i="3"/>
  <c r="D1473" i="3"/>
  <c r="D1474" i="3"/>
  <c r="D1475" i="3"/>
  <c r="D1476" i="3"/>
  <c r="D1477" i="3"/>
  <c r="D1478" i="3"/>
  <c r="D1479" i="3"/>
  <c r="D1480" i="3"/>
  <c r="D1481" i="3"/>
  <c r="D1482" i="3"/>
  <c r="D1483" i="3"/>
  <c r="D1484" i="3"/>
  <c r="D1485" i="3"/>
  <c r="D1486" i="3"/>
  <c r="D1487" i="3"/>
  <c r="D1488" i="3"/>
  <c r="D1489" i="3"/>
  <c r="D1490" i="3"/>
  <c r="D1491" i="3"/>
  <c r="D1492" i="3"/>
  <c r="D1493" i="3"/>
  <c r="D1494" i="3"/>
  <c r="D1495" i="3"/>
  <c r="D1496" i="3"/>
  <c r="D1497" i="3"/>
  <c r="D1498" i="3"/>
  <c r="D1499" i="3"/>
  <c r="D1500" i="3"/>
  <c r="D1501" i="3"/>
  <c r="D1502" i="3"/>
  <c r="D1503" i="3"/>
  <c r="D1504" i="3"/>
  <c r="D1505" i="3"/>
  <c r="D1506" i="3"/>
  <c r="D1507" i="3"/>
  <c r="D1508" i="3"/>
  <c r="D1509" i="3"/>
  <c r="D1510" i="3"/>
  <c r="D1511" i="3"/>
  <c r="D1512" i="3"/>
  <c r="D1513" i="3"/>
  <c r="D1514" i="3"/>
  <c r="D1515" i="3"/>
  <c r="D1516" i="3"/>
  <c r="D1517" i="3"/>
  <c r="D1518" i="3"/>
  <c r="D1519" i="3"/>
  <c r="D1520" i="3"/>
  <c r="D1521" i="3"/>
  <c r="D1522" i="3"/>
  <c r="D1523" i="3"/>
  <c r="D1524" i="3"/>
  <c r="D1525" i="3"/>
  <c r="D1526" i="3"/>
  <c r="D1527" i="3"/>
  <c r="D1528" i="3"/>
  <c r="D1529" i="3"/>
  <c r="D1530" i="3"/>
  <c r="D1531" i="3"/>
  <c r="D1532" i="3"/>
  <c r="D1533" i="3"/>
  <c r="D1534" i="3"/>
  <c r="D1535" i="3"/>
  <c r="D1536" i="3"/>
  <c r="D1537" i="3"/>
  <c r="D1538" i="3"/>
  <c r="D1539" i="3"/>
  <c r="D1540" i="3"/>
  <c r="D1541" i="3"/>
  <c r="D1542" i="3"/>
  <c r="D1543" i="3"/>
  <c r="D1544" i="3"/>
  <c r="D1545" i="3"/>
  <c r="D1546" i="3"/>
  <c r="D1547" i="3"/>
  <c r="D1548" i="3"/>
  <c r="D1549" i="3"/>
  <c r="D1550" i="3"/>
  <c r="D1551" i="3"/>
  <c r="D1552" i="3"/>
  <c r="D1553" i="3"/>
  <c r="D1554" i="3"/>
  <c r="D1555" i="3"/>
  <c r="D1556" i="3"/>
  <c r="D1557" i="3"/>
  <c r="D1558" i="3"/>
  <c r="D1559" i="3"/>
  <c r="D1560" i="3"/>
  <c r="D1561" i="3"/>
  <c r="D1562" i="3"/>
  <c r="D1563" i="3"/>
  <c r="D1564" i="3"/>
  <c r="D1565" i="3"/>
  <c r="D1566" i="3"/>
  <c r="D1567" i="3"/>
  <c r="D1568" i="3"/>
  <c r="D1569" i="3"/>
  <c r="D1570" i="3"/>
  <c r="D1571" i="3"/>
  <c r="D1572" i="3"/>
  <c r="D1573" i="3"/>
  <c r="D1574" i="3"/>
  <c r="D1575" i="3"/>
  <c r="D1576" i="3"/>
  <c r="D1577" i="3"/>
  <c r="D1578" i="3"/>
  <c r="D1579" i="3"/>
  <c r="D1580" i="3"/>
  <c r="D1581" i="3"/>
  <c r="D1582" i="3"/>
  <c r="D1583" i="3"/>
  <c r="D1584" i="3"/>
  <c r="D1585" i="3"/>
  <c r="D1586" i="3"/>
  <c r="D1587" i="3"/>
  <c r="D1588" i="3"/>
  <c r="D1589" i="3"/>
  <c r="D1590" i="3"/>
  <c r="D1591" i="3"/>
  <c r="D1592" i="3"/>
  <c r="D1593" i="3"/>
  <c r="D1594" i="3"/>
  <c r="D1595" i="3"/>
  <c r="D1596" i="3"/>
  <c r="D1597" i="3"/>
  <c r="D1598" i="3"/>
  <c r="D1599" i="3"/>
  <c r="D1600" i="3"/>
  <c r="D1601" i="3"/>
  <c r="D1602" i="3"/>
  <c r="D1603" i="3"/>
  <c r="D1604" i="3"/>
  <c r="D1605" i="3"/>
  <c r="D1606" i="3"/>
  <c r="D1607" i="3"/>
  <c r="D1608" i="3"/>
  <c r="D1609" i="3"/>
  <c r="D1610" i="3"/>
  <c r="D1611" i="3"/>
  <c r="D1612" i="3"/>
  <c r="D1613" i="3"/>
  <c r="D1614" i="3"/>
  <c r="D1615" i="3"/>
  <c r="D1616" i="3"/>
  <c r="D1617" i="3"/>
  <c r="D1618" i="3"/>
  <c r="D1619" i="3"/>
  <c r="D1620" i="3"/>
  <c r="D1621" i="3"/>
  <c r="D1622" i="3"/>
  <c r="D1623" i="3"/>
  <c r="D1624" i="3"/>
  <c r="D1625" i="3"/>
  <c r="D1626" i="3"/>
  <c r="D1627" i="3"/>
  <c r="D1628" i="3"/>
  <c r="D1629" i="3"/>
  <c r="D1630" i="3"/>
  <c r="D1631" i="3"/>
  <c r="D1632" i="3"/>
  <c r="D1633" i="3"/>
  <c r="D1634" i="3"/>
  <c r="D1635" i="3"/>
  <c r="D1636" i="3"/>
  <c r="D1637" i="3"/>
  <c r="D1638" i="3"/>
  <c r="D1639" i="3"/>
  <c r="D1640" i="3"/>
  <c r="D1641" i="3"/>
  <c r="D1642" i="3"/>
  <c r="D1643" i="3"/>
  <c r="D1644" i="3"/>
  <c r="D1645" i="3"/>
  <c r="D1646" i="3"/>
  <c r="D1647" i="3"/>
  <c r="D1648" i="3"/>
  <c r="D1649" i="3"/>
  <c r="D1650" i="3"/>
  <c r="D1651" i="3"/>
  <c r="D1652" i="3"/>
  <c r="D1653" i="3"/>
  <c r="D1654" i="3"/>
  <c r="D1655" i="3"/>
  <c r="D1656" i="3"/>
  <c r="D1657" i="3"/>
  <c r="D1658" i="3"/>
  <c r="D1659" i="3"/>
  <c r="D1660" i="3"/>
  <c r="D1661" i="3"/>
  <c r="D1662" i="3"/>
  <c r="D1663" i="3"/>
  <c r="D1664" i="3"/>
  <c r="D1665" i="3"/>
  <c r="D1666" i="3"/>
  <c r="D1667" i="3"/>
  <c r="D1668" i="3"/>
  <c r="D1669" i="3"/>
  <c r="D1670" i="3"/>
  <c r="D1671" i="3"/>
  <c r="D1672" i="3"/>
  <c r="D1673" i="3"/>
  <c r="D1674" i="3"/>
  <c r="D1675" i="3"/>
  <c r="D1676" i="3"/>
  <c r="D1677" i="3"/>
  <c r="D1678" i="3"/>
  <c r="D1679" i="3"/>
  <c r="D1680" i="3"/>
  <c r="D1681" i="3"/>
  <c r="D1682" i="3"/>
  <c r="D1683" i="3"/>
  <c r="D1684" i="3"/>
  <c r="D1685" i="3"/>
  <c r="D1686" i="3"/>
  <c r="D1687" i="3"/>
  <c r="D1688" i="3"/>
  <c r="D1689" i="3"/>
  <c r="D1690" i="3"/>
  <c r="D1691" i="3"/>
  <c r="D1692" i="3"/>
  <c r="D1693" i="3"/>
  <c r="D1694" i="3"/>
  <c r="D1695" i="3"/>
  <c r="D1696" i="3"/>
  <c r="D1697" i="3"/>
  <c r="D1698" i="3"/>
  <c r="D1699" i="3"/>
  <c r="D1700" i="3"/>
  <c r="D1701" i="3"/>
  <c r="D1702" i="3"/>
  <c r="D1703" i="3"/>
  <c r="D1704" i="3"/>
  <c r="D1705" i="3"/>
  <c r="D1706" i="3"/>
  <c r="D1707" i="3"/>
  <c r="D1708" i="3"/>
  <c r="D1709" i="3"/>
  <c r="D1710" i="3"/>
  <c r="D1711" i="3"/>
  <c r="D1712" i="3"/>
  <c r="D1713" i="3"/>
  <c r="D1714" i="3"/>
  <c r="D1715" i="3"/>
  <c r="D1716" i="3"/>
  <c r="D1717" i="3"/>
  <c r="D1718" i="3"/>
  <c r="D1719" i="3"/>
  <c r="D1720" i="3"/>
  <c r="D1721" i="3"/>
  <c r="D1722" i="3"/>
  <c r="D1723" i="3"/>
  <c r="D1724" i="3"/>
  <c r="D1725" i="3"/>
  <c r="D1726" i="3"/>
  <c r="D1727" i="3"/>
  <c r="D1728" i="3"/>
  <c r="D1729" i="3"/>
  <c r="D1730" i="3"/>
  <c r="D1731" i="3"/>
  <c r="D1732" i="3"/>
  <c r="D1733" i="3"/>
  <c r="D1734" i="3"/>
  <c r="D1735" i="3"/>
  <c r="D1736" i="3"/>
  <c r="D1737" i="3"/>
  <c r="D1738" i="3"/>
  <c r="D1739" i="3"/>
  <c r="D1740" i="3"/>
  <c r="D1741" i="3"/>
  <c r="D1742" i="3"/>
  <c r="D1743" i="3"/>
  <c r="D1744" i="3"/>
  <c r="D1745" i="3"/>
  <c r="D1746" i="3"/>
  <c r="D1747" i="3"/>
  <c r="D1748" i="3"/>
  <c r="D1749" i="3"/>
  <c r="D1750" i="3"/>
  <c r="D1751" i="3"/>
  <c r="D1752" i="3"/>
  <c r="D1753" i="3"/>
  <c r="D1754" i="3"/>
  <c r="D1755" i="3"/>
  <c r="D1756" i="3"/>
  <c r="D1757" i="3"/>
  <c r="D1758" i="3"/>
  <c r="D1759" i="3"/>
  <c r="D1760" i="3"/>
  <c r="D1761" i="3"/>
  <c r="D1762" i="3"/>
  <c r="D1763" i="3"/>
  <c r="D1764" i="3"/>
  <c r="D1765" i="3"/>
  <c r="D1766" i="3"/>
  <c r="D1767" i="3"/>
  <c r="D1768" i="3"/>
  <c r="D1769" i="3"/>
  <c r="D1770" i="3"/>
  <c r="D1771" i="3"/>
  <c r="D1772" i="3"/>
  <c r="D1773" i="3"/>
  <c r="D1774" i="3"/>
  <c r="D1775" i="3"/>
  <c r="D1776" i="3"/>
  <c r="D1777" i="3"/>
  <c r="D1778" i="3"/>
  <c r="D1779" i="3"/>
  <c r="D1780" i="3"/>
  <c r="D1781" i="3"/>
  <c r="D1782" i="3"/>
  <c r="D1783" i="3"/>
  <c r="D1784" i="3"/>
  <c r="D1785" i="3"/>
  <c r="D1786" i="3"/>
  <c r="D1787" i="3"/>
  <c r="D1788" i="3"/>
  <c r="D1789" i="3"/>
  <c r="D1790" i="3"/>
  <c r="D1791" i="3"/>
  <c r="D1792" i="3"/>
  <c r="D1793" i="3"/>
  <c r="D1794" i="3"/>
  <c r="D1795" i="3"/>
  <c r="D1796" i="3"/>
  <c r="D1797" i="3"/>
  <c r="D1798" i="3"/>
  <c r="D1799" i="3"/>
  <c r="D1800" i="3"/>
  <c r="D1801" i="3"/>
  <c r="D1802" i="3"/>
  <c r="D1803" i="3"/>
  <c r="D1804" i="3"/>
  <c r="D1805" i="3"/>
  <c r="D1806" i="3"/>
  <c r="D1807" i="3"/>
  <c r="D1808" i="3"/>
  <c r="D1809" i="3"/>
  <c r="D1810" i="3"/>
  <c r="D1811" i="3"/>
  <c r="D1812" i="3"/>
  <c r="D1813" i="3"/>
  <c r="D1814" i="3"/>
  <c r="D1815" i="3"/>
  <c r="D1816" i="3"/>
  <c r="D1817" i="3"/>
  <c r="D1818" i="3"/>
  <c r="D1819" i="3"/>
  <c r="D1820" i="3"/>
  <c r="D1821" i="3"/>
  <c r="D1822" i="3"/>
  <c r="D1823" i="3"/>
  <c r="D1824" i="3"/>
  <c r="D1825" i="3"/>
  <c r="D1826" i="3"/>
  <c r="D1827" i="3"/>
  <c r="D1828" i="3"/>
  <c r="D1829" i="3"/>
  <c r="D1830" i="3"/>
  <c r="D1831" i="3"/>
  <c r="D1832" i="3"/>
  <c r="D1833" i="3"/>
  <c r="D1834" i="3"/>
  <c r="D1835" i="3"/>
  <c r="D1836" i="3"/>
  <c r="D1837" i="3"/>
  <c r="D1838" i="3"/>
  <c r="D1839" i="3"/>
  <c r="D1840" i="3"/>
  <c r="D1841" i="3"/>
  <c r="D1842" i="3"/>
  <c r="D1843" i="3"/>
  <c r="D1844" i="3"/>
  <c r="D1845" i="3"/>
  <c r="D1846" i="3"/>
  <c r="D1847" i="3"/>
  <c r="D1848" i="3"/>
  <c r="D1849" i="3"/>
  <c r="D1850" i="3"/>
  <c r="D1851" i="3"/>
  <c r="D1852" i="3"/>
  <c r="D1853" i="3"/>
  <c r="D1854" i="3"/>
  <c r="D1855" i="3"/>
  <c r="D1856" i="3"/>
  <c r="D1857" i="3"/>
  <c r="D1858" i="3"/>
  <c r="D1859" i="3"/>
  <c r="D1860" i="3"/>
  <c r="D1861" i="3"/>
  <c r="D1862" i="3"/>
  <c r="D1863" i="3"/>
  <c r="D1864" i="3"/>
  <c r="D1865" i="3"/>
  <c r="D1866" i="3"/>
  <c r="D1867" i="3"/>
  <c r="D1868" i="3"/>
  <c r="D1869" i="3"/>
  <c r="D1870" i="3"/>
  <c r="D1871" i="3"/>
  <c r="D1872" i="3"/>
  <c r="D1873" i="3"/>
  <c r="D1874" i="3"/>
  <c r="D1875" i="3"/>
  <c r="D1876" i="3"/>
  <c r="D1877" i="3"/>
  <c r="D1878" i="3"/>
  <c r="D1879" i="3"/>
  <c r="D1880" i="3"/>
  <c r="D1881" i="3"/>
  <c r="D1882" i="3"/>
  <c r="D1883" i="3"/>
  <c r="D1884" i="3"/>
  <c r="D1885" i="3"/>
  <c r="D1886" i="3"/>
  <c r="D1887" i="3"/>
  <c r="D1888" i="3"/>
  <c r="D1889" i="3"/>
  <c r="D1890" i="3"/>
  <c r="D1891" i="3"/>
  <c r="D1892" i="3"/>
  <c r="D1893" i="3"/>
  <c r="D1894" i="3"/>
  <c r="D1895" i="3"/>
  <c r="D1896" i="3"/>
  <c r="D1897" i="3"/>
  <c r="D1898" i="3"/>
  <c r="D1899" i="3"/>
  <c r="D1900" i="3"/>
  <c r="D1901" i="3"/>
  <c r="D1902" i="3"/>
  <c r="D1903" i="3"/>
  <c r="D1904" i="3"/>
  <c r="D1905" i="3"/>
  <c r="D1906" i="3"/>
  <c r="D1907" i="3"/>
  <c r="D1908" i="3"/>
  <c r="D1909" i="3"/>
  <c r="D1910" i="3"/>
  <c r="D1911" i="3"/>
  <c r="D1912" i="3"/>
  <c r="D1913" i="3"/>
  <c r="D1914" i="3"/>
  <c r="D1915" i="3"/>
  <c r="D1916" i="3"/>
  <c r="D1917" i="3"/>
  <c r="D1918" i="3"/>
  <c r="D1919" i="3"/>
  <c r="D1920" i="3"/>
  <c r="D1921" i="3"/>
  <c r="D1922" i="3"/>
  <c r="D1923" i="3"/>
  <c r="D1924" i="3"/>
  <c r="D1925" i="3"/>
  <c r="D1926" i="3"/>
  <c r="D1927" i="3"/>
  <c r="D1928" i="3"/>
  <c r="D1929" i="3"/>
  <c r="D1930" i="3"/>
  <c r="D1931" i="3"/>
  <c r="D1932" i="3"/>
  <c r="D1933" i="3"/>
  <c r="D1934" i="3"/>
  <c r="D1935" i="3"/>
  <c r="D1936" i="3"/>
  <c r="D1937" i="3"/>
  <c r="D1938" i="3"/>
  <c r="D1939" i="3"/>
  <c r="D1940" i="3"/>
  <c r="D1941" i="3"/>
  <c r="D1942" i="3"/>
  <c r="D1943" i="3"/>
  <c r="D1944" i="3"/>
  <c r="D1945" i="3"/>
  <c r="D1946" i="3"/>
  <c r="D1947" i="3"/>
  <c r="D1948" i="3"/>
  <c r="D1949" i="3"/>
  <c r="D1950" i="3"/>
  <c r="D1951" i="3"/>
  <c r="D1952" i="3"/>
  <c r="D1953" i="3"/>
  <c r="D1954" i="3"/>
  <c r="D1955" i="3"/>
  <c r="D1956" i="3"/>
  <c r="D1957" i="3"/>
  <c r="D1958" i="3"/>
  <c r="D1959" i="3"/>
  <c r="D1960" i="3"/>
  <c r="D1961" i="3"/>
  <c r="D1962" i="3"/>
  <c r="D1963" i="3"/>
  <c r="D1964" i="3"/>
  <c r="D1965" i="3"/>
  <c r="D1966" i="3"/>
  <c r="D1967" i="3"/>
  <c r="D1968" i="3"/>
  <c r="D1969" i="3"/>
  <c r="D1970" i="3"/>
  <c r="D1971" i="3"/>
  <c r="D1972" i="3"/>
  <c r="D1973" i="3"/>
  <c r="D1974" i="3"/>
  <c r="D1975" i="3"/>
  <c r="D1976" i="3"/>
  <c r="D1977" i="3"/>
  <c r="D1978" i="3"/>
  <c r="D1979" i="3"/>
  <c r="D1980" i="3"/>
  <c r="D1981" i="3"/>
  <c r="D1982" i="3"/>
  <c r="D1983" i="3"/>
  <c r="D1984" i="3"/>
  <c r="D1985" i="3"/>
  <c r="D1986" i="3"/>
  <c r="D1987" i="3"/>
  <c r="D1988" i="3"/>
  <c r="D1989" i="3"/>
  <c r="D1990" i="3"/>
  <c r="D1991" i="3"/>
  <c r="D1992" i="3"/>
  <c r="D1993" i="3"/>
  <c r="D1994" i="3"/>
  <c r="D1995" i="3"/>
  <c r="D1996" i="3"/>
  <c r="D1997" i="3"/>
  <c r="D1998" i="3"/>
  <c r="D1999" i="3"/>
  <c r="D2000" i="3"/>
  <c r="D2001" i="3"/>
  <c r="D2002" i="3"/>
  <c r="D2003" i="3"/>
  <c r="D2004" i="3"/>
  <c r="D2005" i="3"/>
  <c r="D2006" i="3"/>
  <c r="D2007" i="3"/>
  <c r="D2008" i="3"/>
  <c r="D2009" i="3"/>
  <c r="D2010" i="3"/>
  <c r="D2011" i="3"/>
  <c r="D2012" i="3"/>
  <c r="D2013" i="3"/>
  <c r="D2014" i="3"/>
  <c r="D2015" i="3"/>
  <c r="D2016" i="3"/>
  <c r="D2017" i="3"/>
  <c r="D2018" i="3"/>
  <c r="D2019" i="3"/>
  <c r="D2020" i="3"/>
  <c r="D2021" i="3"/>
  <c r="D2022" i="3"/>
  <c r="D2023" i="3"/>
  <c r="D2024" i="3"/>
  <c r="D2025" i="3"/>
  <c r="D2026" i="3"/>
  <c r="D2027" i="3"/>
  <c r="D2028" i="3"/>
  <c r="D2029" i="3"/>
  <c r="D2030" i="3"/>
  <c r="D2031" i="3"/>
  <c r="D2032" i="3"/>
  <c r="D2033" i="3"/>
  <c r="D2034" i="3"/>
  <c r="D2035" i="3"/>
  <c r="D2036" i="3"/>
  <c r="D2037" i="3"/>
  <c r="D2038" i="3"/>
  <c r="D2039" i="3"/>
  <c r="D2040" i="3"/>
  <c r="D2041" i="3"/>
  <c r="D2042" i="3"/>
  <c r="D2043" i="3"/>
  <c r="D2044" i="3"/>
  <c r="D2045" i="3"/>
  <c r="D2046" i="3"/>
  <c r="D2047" i="3"/>
  <c r="D2048" i="3"/>
  <c r="D2049" i="3"/>
  <c r="D2050" i="3"/>
  <c r="D2051" i="3"/>
  <c r="D2052" i="3"/>
  <c r="D2053" i="3"/>
  <c r="D2054" i="3"/>
  <c r="D2055" i="3"/>
  <c r="D2056" i="3"/>
  <c r="D2057" i="3"/>
  <c r="D2058" i="3"/>
  <c r="D2059" i="3"/>
  <c r="D2060" i="3"/>
  <c r="D2061" i="3"/>
  <c r="D2062" i="3"/>
  <c r="D2063" i="3"/>
  <c r="D2064" i="3"/>
  <c r="D2065" i="3"/>
  <c r="D2066" i="3"/>
  <c r="D2067" i="3"/>
  <c r="D2068" i="3"/>
  <c r="D2069" i="3"/>
  <c r="D2070" i="3"/>
  <c r="D2071" i="3"/>
  <c r="D2072" i="3"/>
  <c r="D2073" i="3"/>
  <c r="D2074" i="3"/>
  <c r="D2075" i="3"/>
  <c r="D2076" i="3"/>
  <c r="D2077" i="3"/>
  <c r="D2078" i="3"/>
  <c r="D2079" i="3"/>
  <c r="D2080" i="3"/>
  <c r="D2081" i="3"/>
  <c r="D2082" i="3"/>
  <c r="D2083" i="3"/>
  <c r="D2084" i="3"/>
  <c r="D2085" i="3"/>
  <c r="D2086" i="3"/>
  <c r="D2087" i="3"/>
  <c r="D2088" i="3"/>
  <c r="D2089" i="3"/>
  <c r="D2090" i="3"/>
  <c r="D2091" i="3"/>
  <c r="D2092" i="3"/>
  <c r="D2093" i="3"/>
  <c r="D2094" i="3"/>
  <c r="D2095" i="3"/>
  <c r="D2096" i="3"/>
  <c r="D2097" i="3"/>
  <c r="D2098" i="3"/>
  <c r="D2099" i="3"/>
  <c r="D2100" i="3"/>
  <c r="D2101" i="3"/>
  <c r="D2102" i="3"/>
  <c r="D2103" i="3"/>
  <c r="D2104" i="3"/>
  <c r="D2105" i="3"/>
  <c r="D2106" i="3"/>
  <c r="D2107" i="3"/>
  <c r="D2108" i="3"/>
  <c r="D2109" i="3"/>
  <c r="D2110" i="3"/>
  <c r="D2111" i="3"/>
  <c r="D2112" i="3"/>
  <c r="D2113" i="3"/>
  <c r="D2114" i="3"/>
  <c r="D2115" i="3"/>
  <c r="D2116" i="3"/>
  <c r="D2117" i="3"/>
  <c r="D2118" i="3"/>
  <c r="D2119" i="3"/>
  <c r="D2120" i="3"/>
  <c r="D2121" i="3"/>
  <c r="D2122" i="3"/>
  <c r="D2123" i="3"/>
  <c r="D2124" i="3"/>
  <c r="D2125" i="3"/>
  <c r="D2126" i="3"/>
  <c r="D2127" i="3"/>
  <c r="D2128" i="3"/>
  <c r="D2129" i="3"/>
  <c r="D2130" i="3"/>
  <c r="D2131" i="3"/>
  <c r="D2132" i="3"/>
  <c r="D2133" i="3"/>
  <c r="D2134" i="3"/>
  <c r="D2135" i="3"/>
  <c r="D2136" i="3"/>
  <c r="D2137" i="3"/>
  <c r="D2138" i="3"/>
  <c r="D2139" i="3"/>
  <c r="D2140" i="3"/>
  <c r="D2141" i="3"/>
  <c r="D2142" i="3"/>
  <c r="D2143" i="3"/>
  <c r="D2144" i="3"/>
  <c r="D2145" i="3"/>
  <c r="D2146" i="3"/>
  <c r="D2147" i="3"/>
  <c r="D2148" i="3"/>
  <c r="D2149" i="3"/>
  <c r="D2150" i="3"/>
  <c r="D2151" i="3"/>
  <c r="D2152" i="3"/>
  <c r="D2153" i="3"/>
  <c r="D2154" i="3"/>
  <c r="D2155" i="3"/>
  <c r="D2156" i="3"/>
  <c r="D2157" i="3"/>
  <c r="D2158" i="3"/>
  <c r="D2159" i="3"/>
  <c r="D2160" i="3"/>
  <c r="D2161" i="3"/>
  <c r="D2162" i="3"/>
  <c r="D2163" i="3"/>
  <c r="D2164" i="3"/>
  <c r="D2165" i="3"/>
  <c r="D2166" i="3"/>
  <c r="D2167" i="3"/>
  <c r="D2168" i="3"/>
  <c r="D2169" i="3"/>
  <c r="D2170" i="3"/>
  <c r="D2171" i="3"/>
  <c r="D2172" i="3"/>
  <c r="D2173" i="3"/>
  <c r="D2174" i="3"/>
  <c r="D2175" i="3"/>
  <c r="D2176" i="3"/>
  <c r="D2177" i="3"/>
  <c r="D2178" i="3"/>
  <c r="D2179" i="3"/>
  <c r="D2180" i="3"/>
  <c r="D2181" i="3"/>
  <c r="D2182" i="3"/>
  <c r="D2183" i="3"/>
  <c r="D2184" i="3"/>
  <c r="D2185" i="3"/>
  <c r="D2186" i="3"/>
  <c r="D2187" i="3"/>
  <c r="D2188" i="3"/>
  <c r="D2189" i="3"/>
  <c r="D2190" i="3"/>
  <c r="D2191" i="3"/>
  <c r="D2192" i="3"/>
  <c r="D2193" i="3"/>
  <c r="D2194" i="3"/>
  <c r="D2195" i="3"/>
  <c r="D2196" i="3"/>
  <c r="D2197" i="3"/>
  <c r="D2198" i="3"/>
  <c r="D2199" i="3"/>
  <c r="D2200" i="3"/>
  <c r="D2201" i="3"/>
  <c r="D2202" i="3"/>
  <c r="D2203" i="3"/>
  <c r="D2204" i="3"/>
  <c r="D2205" i="3"/>
  <c r="D2206" i="3"/>
  <c r="D2207" i="3"/>
  <c r="D2208" i="3"/>
  <c r="D2209" i="3"/>
  <c r="D2210" i="3"/>
  <c r="D2211" i="3"/>
  <c r="D2212" i="3"/>
  <c r="D2213" i="3"/>
  <c r="D2214" i="3"/>
  <c r="D2215" i="3"/>
  <c r="D2216" i="3"/>
  <c r="D2217" i="3"/>
  <c r="D2218" i="3"/>
  <c r="D2219" i="3"/>
  <c r="D2220" i="3"/>
  <c r="D2221" i="3"/>
  <c r="D2222" i="3"/>
  <c r="D2223" i="3"/>
  <c r="D2224" i="3"/>
  <c r="D2225" i="3"/>
  <c r="D2226" i="3"/>
  <c r="D2227" i="3"/>
  <c r="D2228" i="3"/>
  <c r="D2229" i="3"/>
  <c r="D2230" i="3"/>
  <c r="D2231" i="3"/>
  <c r="D2232" i="3"/>
  <c r="D2233" i="3"/>
  <c r="D2234" i="3"/>
  <c r="D2235" i="3"/>
  <c r="D2236" i="3"/>
  <c r="D2237" i="3"/>
  <c r="D2238" i="3"/>
  <c r="D2239" i="3"/>
  <c r="D2240" i="3"/>
  <c r="D2241" i="3"/>
  <c r="D2242" i="3"/>
  <c r="D2243" i="3"/>
  <c r="D2244" i="3"/>
  <c r="D2245" i="3"/>
  <c r="D2246" i="3"/>
  <c r="D2247" i="3"/>
  <c r="D2248" i="3"/>
  <c r="D2249" i="3"/>
  <c r="D2250" i="3"/>
  <c r="D2251" i="3"/>
  <c r="D2252" i="3"/>
  <c r="D2253" i="3"/>
  <c r="D2254" i="3"/>
  <c r="D2255" i="3"/>
  <c r="D2256" i="3"/>
  <c r="D2257" i="3"/>
  <c r="D2258" i="3"/>
  <c r="D2259" i="3"/>
  <c r="D2260" i="3"/>
  <c r="D2261" i="3"/>
  <c r="D2262" i="3"/>
  <c r="D2263" i="3"/>
  <c r="D2264" i="3"/>
  <c r="D2265" i="3"/>
  <c r="D2266" i="3"/>
  <c r="D2267" i="3"/>
  <c r="D2268" i="3"/>
  <c r="D2269" i="3"/>
  <c r="D2270" i="3"/>
  <c r="D2271" i="3"/>
  <c r="D2272" i="3"/>
  <c r="D2273" i="3"/>
  <c r="D2274" i="3"/>
  <c r="D2275" i="3"/>
  <c r="D2276" i="3"/>
  <c r="D2277" i="3"/>
  <c r="D2278" i="3"/>
  <c r="D2279" i="3"/>
  <c r="D2280" i="3"/>
  <c r="D2281" i="3"/>
  <c r="D2282" i="3"/>
  <c r="D2283" i="3"/>
  <c r="D2284" i="3"/>
  <c r="D2285" i="3"/>
  <c r="D2286" i="3"/>
  <c r="D2287" i="3"/>
  <c r="D2288" i="3"/>
  <c r="D2289" i="3"/>
  <c r="D2290" i="3"/>
  <c r="D2291" i="3"/>
  <c r="D2292" i="3"/>
  <c r="D2293" i="3"/>
  <c r="D2294" i="3"/>
  <c r="D2295" i="3"/>
  <c r="D2296" i="3"/>
  <c r="D2297" i="3"/>
  <c r="D2298" i="3"/>
  <c r="D2299" i="3"/>
  <c r="D2300" i="3"/>
  <c r="D2301" i="3"/>
  <c r="D2302" i="3"/>
  <c r="D2303" i="3"/>
  <c r="D2304" i="3"/>
  <c r="D2305" i="3"/>
  <c r="D2306" i="3"/>
  <c r="D2307" i="3"/>
  <c r="D2308" i="3"/>
  <c r="D2309" i="3"/>
  <c r="D2310" i="3"/>
  <c r="D2311" i="3"/>
  <c r="D2312" i="3"/>
  <c r="D2313" i="3"/>
  <c r="D2314" i="3"/>
  <c r="D2315" i="3"/>
  <c r="D2316" i="3"/>
  <c r="D2317" i="3"/>
  <c r="D2318" i="3"/>
  <c r="D2319" i="3"/>
  <c r="D2320" i="3"/>
  <c r="D2321" i="3"/>
  <c r="D2322" i="3"/>
  <c r="D2323" i="3"/>
  <c r="D2324" i="3"/>
  <c r="D2325" i="3"/>
  <c r="D2326" i="3"/>
  <c r="D2327" i="3"/>
  <c r="D2328" i="3"/>
  <c r="D2329" i="3"/>
  <c r="D2330" i="3"/>
  <c r="D2331" i="3"/>
  <c r="D2332" i="3"/>
  <c r="D2333" i="3"/>
  <c r="D2334" i="3"/>
  <c r="D2335" i="3"/>
  <c r="D2336" i="3"/>
  <c r="D2337" i="3"/>
  <c r="D2338" i="3"/>
  <c r="D2339" i="3"/>
  <c r="D2340" i="3"/>
  <c r="D2341" i="3"/>
  <c r="D2342" i="3"/>
  <c r="D2343" i="3"/>
  <c r="D2344" i="3"/>
  <c r="D2345" i="3"/>
  <c r="D2346" i="3"/>
  <c r="D2347" i="3"/>
  <c r="D2348" i="3"/>
  <c r="D2349" i="3"/>
  <c r="D2350" i="3"/>
  <c r="D2351" i="3"/>
  <c r="D2352" i="3"/>
  <c r="D2353" i="3"/>
  <c r="D2354" i="3"/>
  <c r="D2355" i="3"/>
  <c r="D2356" i="3"/>
  <c r="D2357" i="3"/>
  <c r="D2358" i="3"/>
  <c r="D2359" i="3"/>
  <c r="D2360" i="3"/>
  <c r="D2361" i="3"/>
  <c r="D2362" i="3"/>
  <c r="D2363" i="3"/>
  <c r="D2364" i="3"/>
  <c r="D2365" i="3"/>
  <c r="D2366" i="3"/>
  <c r="D2367" i="3"/>
  <c r="D2368" i="3"/>
  <c r="D2369" i="3"/>
  <c r="D2370" i="3"/>
  <c r="D2371" i="3"/>
  <c r="D2372" i="3"/>
  <c r="D2373" i="3"/>
  <c r="D2374" i="3"/>
  <c r="D2375" i="3"/>
  <c r="D2376" i="3"/>
  <c r="D2377" i="3"/>
  <c r="D2378" i="3"/>
  <c r="D2379" i="3"/>
  <c r="D2380" i="3"/>
  <c r="D2381" i="3"/>
  <c r="D2382" i="3"/>
  <c r="D2383" i="3"/>
  <c r="D2384" i="3"/>
  <c r="D2385" i="3"/>
  <c r="D2386" i="3"/>
  <c r="D2387" i="3"/>
  <c r="D2388" i="3"/>
  <c r="D2389" i="3"/>
  <c r="D2390" i="3"/>
  <c r="D2391" i="3"/>
  <c r="D2392" i="3"/>
  <c r="D2393" i="3"/>
  <c r="D2394" i="3"/>
  <c r="D2395" i="3"/>
  <c r="D2396" i="3"/>
  <c r="D2397" i="3"/>
  <c r="D2398" i="3"/>
  <c r="D2399" i="3"/>
  <c r="D2400" i="3"/>
  <c r="D2401" i="3"/>
  <c r="D2402" i="3"/>
  <c r="D2403" i="3"/>
  <c r="D2404" i="3"/>
  <c r="D2405" i="3"/>
  <c r="D2406" i="3"/>
  <c r="D2407" i="3"/>
  <c r="D2408" i="3"/>
  <c r="D2409" i="3"/>
  <c r="D2410" i="3"/>
  <c r="D2411" i="3"/>
  <c r="D2412" i="3"/>
  <c r="D2413" i="3"/>
  <c r="D2414" i="3"/>
  <c r="D2415" i="3"/>
  <c r="D2416" i="3"/>
  <c r="D2417" i="3"/>
  <c r="D2418" i="3"/>
  <c r="D2419" i="3"/>
  <c r="D2420" i="3"/>
  <c r="D2421" i="3"/>
  <c r="D2422" i="3"/>
  <c r="D2423" i="3"/>
  <c r="D2424" i="3"/>
  <c r="D2425" i="3"/>
  <c r="D2426" i="3"/>
  <c r="D2427" i="3"/>
  <c r="D2428" i="3"/>
  <c r="D2429" i="3"/>
  <c r="D2430" i="3"/>
  <c r="D2431" i="3"/>
  <c r="D2432" i="3"/>
  <c r="D2433" i="3"/>
  <c r="D2434" i="3"/>
  <c r="D2435" i="3"/>
  <c r="D2436" i="3"/>
  <c r="D2437" i="3"/>
  <c r="D2438" i="3"/>
  <c r="D2439" i="3"/>
  <c r="D2440" i="3"/>
  <c r="D2441" i="3"/>
  <c r="D2442" i="3"/>
  <c r="D2443" i="3"/>
  <c r="D2444" i="3"/>
  <c r="D2445" i="3"/>
  <c r="D2446" i="3"/>
  <c r="D2447" i="3"/>
  <c r="D2448" i="3"/>
  <c r="D2449" i="3"/>
  <c r="D2450" i="3"/>
  <c r="D2451" i="3"/>
  <c r="D2452" i="3"/>
  <c r="D2453" i="3"/>
  <c r="D2454" i="3"/>
  <c r="D2455" i="3"/>
  <c r="D2456" i="3"/>
  <c r="D2457" i="3"/>
  <c r="D2458" i="3"/>
  <c r="D2459" i="3"/>
  <c r="D2460" i="3"/>
  <c r="D2461" i="3"/>
  <c r="D2462" i="3"/>
  <c r="D2463" i="3"/>
  <c r="D2464" i="3"/>
  <c r="D2465" i="3"/>
  <c r="D2466" i="3"/>
  <c r="D2467" i="3"/>
  <c r="D2468" i="3"/>
  <c r="D2469" i="3"/>
  <c r="D2470" i="3"/>
  <c r="D2471" i="3"/>
  <c r="D2472" i="3"/>
  <c r="D2473" i="3"/>
  <c r="D2474" i="3"/>
  <c r="D2475" i="3"/>
  <c r="D2476" i="3"/>
  <c r="D2477" i="3"/>
  <c r="D2478" i="3"/>
  <c r="D2479" i="3"/>
  <c r="D2480" i="3"/>
  <c r="D2481" i="3"/>
  <c r="D2482" i="3"/>
  <c r="D2483" i="3"/>
  <c r="D2484" i="3"/>
  <c r="D2485" i="3"/>
  <c r="D2486" i="3"/>
  <c r="D2487" i="3"/>
  <c r="D2488" i="3"/>
  <c r="D2489" i="3"/>
  <c r="D2490" i="3"/>
  <c r="D2491" i="3"/>
  <c r="D2492" i="3"/>
  <c r="D2493" i="3"/>
  <c r="D2494" i="3"/>
  <c r="D2495" i="3"/>
  <c r="D2496" i="3"/>
  <c r="D2497" i="3"/>
  <c r="D2498" i="3"/>
  <c r="D2499" i="3"/>
  <c r="D2500" i="3"/>
  <c r="D2501" i="3"/>
  <c r="D2502" i="3"/>
  <c r="D2503" i="3"/>
  <c r="D2504" i="3"/>
  <c r="D2505" i="3"/>
  <c r="D2506" i="3"/>
  <c r="D2507" i="3"/>
  <c r="D2508" i="3"/>
  <c r="D2509" i="3"/>
  <c r="D2510" i="3"/>
  <c r="D2511" i="3"/>
  <c r="D2512" i="3"/>
  <c r="D2513" i="3"/>
  <c r="D2514" i="3"/>
  <c r="D2515" i="3"/>
  <c r="D2516" i="3"/>
  <c r="D2517" i="3"/>
  <c r="D2518" i="3"/>
  <c r="D2519" i="3"/>
  <c r="D2520" i="3"/>
  <c r="D2521" i="3"/>
  <c r="D2522" i="3"/>
  <c r="D2523" i="3"/>
  <c r="D2524" i="3"/>
  <c r="D2525" i="3"/>
  <c r="D2526" i="3"/>
  <c r="D2527" i="3"/>
  <c r="D2528" i="3"/>
  <c r="D2529" i="3"/>
  <c r="D2530" i="3"/>
  <c r="D2531" i="3"/>
  <c r="D2532" i="3"/>
  <c r="D2533" i="3"/>
  <c r="D2534" i="3"/>
  <c r="D2535" i="3"/>
  <c r="D2536" i="3"/>
  <c r="D2537" i="3"/>
  <c r="D2538" i="3"/>
  <c r="D2539" i="3"/>
  <c r="D2540" i="3"/>
  <c r="D2541" i="3"/>
  <c r="D2542" i="3"/>
  <c r="D2543" i="3"/>
  <c r="D2544" i="3"/>
  <c r="D2545" i="3"/>
  <c r="D2546" i="3"/>
  <c r="D2547" i="3"/>
  <c r="D2548" i="3"/>
  <c r="D2549" i="3"/>
  <c r="D2550" i="3"/>
  <c r="D2551" i="3"/>
  <c r="D2552" i="3"/>
  <c r="D2553" i="3"/>
  <c r="D2554" i="3"/>
  <c r="D2555" i="3"/>
  <c r="D2556" i="3"/>
  <c r="D2557" i="3"/>
  <c r="D2558" i="3"/>
  <c r="D2559" i="3"/>
  <c r="D2560" i="3"/>
  <c r="D2561" i="3"/>
  <c r="D2562" i="3"/>
  <c r="D2563" i="3"/>
  <c r="D2564" i="3"/>
  <c r="D2565" i="3"/>
  <c r="D2566" i="3"/>
  <c r="D2567" i="3"/>
  <c r="D2568" i="3"/>
  <c r="D2569" i="3"/>
  <c r="D2570" i="3"/>
  <c r="D2571" i="3"/>
  <c r="D2572" i="3"/>
  <c r="D2573" i="3"/>
  <c r="D2574" i="3"/>
  <c r="D2575" i="3"/>
  <c r="D2576" i="3"/>
  <c r="D2577" i="3"/>
  <c r="D2578" i="3"/>
  <c r="D2579" i="3"/>
  <c r="D2580" i="3"/>
  <c r="D2581" i="3"/>
  <c r="D2582" i="3"/>
  <c r="D2583" i="3"/>
  <c r="D2584" i="3"/>
  <c r="D2585" i="3"/>
  <c r="D2586" i="3"/>
  <c r="D2587" i="3"/>
  <c r="D2588" i="3"/>
  <c r="D2589" i="3"/>
  <c r="D2590" i="3"/>
  <c r="D2591" i="3"/>
  <c r="D2592" i="3"/>
  <c r="D2593" i="3"/>
  <c r="D2594" i="3"/>
  <c r="D2595" i="3"/>
  <c r="D2596" i="3"/>
  <c r="D2597" i="3"/>
  <c r="D2598" i="3"/>
  <c r="D2599" i="3"/>
  <c r="D2600" i="3"/>
  <c r="D2601" i="3"/>
  <c r="D2602" i="3"/>
  <c r="D2603" i="3"/>
  <c r="D2604" i="3"/>
  <c r="D2605" i="3"/>
  <c r="D2606" i="3"/>
  <c r="D2607" i="3"/>
  <c r="D2608" i="3"/>
  <c r="D2609" i="3"/>
  <c r="D2610" i="3"/>
  <c r="D2611" i="3"/>
  <c r="D2612" i="3"/>
  <c r="D2613" i="3"/>
  <c r="D2614" i="3"/>
  <c r="D2615" i="3"/>
  <c r="D2616" i="3"/>
  <c r="D2617" i="3"/>
  <c r="D2618" i="3"/>
  <c r="D2619" i="3"/>
  <c r="D2620" i="3"/>
  <c r="D2621" i="3"/>
  <c r="D2622" i="3"/>
  <c r="D2623" i="3"/>
  <c r="D2624" i="3"/>
  <c r="D2625" i="3"/>
  <c r="D2626" i="3"/>
  <c r="D2627" i="3"/>
  <c r="D2628" i="3"/>
  <c r="D2629" i="3"/>
  <c r="D2630" i="3"/>
  <c r="D2631" i="3"/>
  <c r="D2632" i="3"/>
  <c r="D2633" i="3"/>
  <c r="D2634" i="3"/>
  <c r="D2635" i="3"/>
  <c r="D2636" i="3"/>
  <c r="D2637" i="3"/>
  <c r="D2638" i="3"/>
  <c r="D2639" i="3"/>
  <c r="D2640" i="3"/>
  <c r="D2641" i="3"/>
  <c r="D2642" i="3"/>
  <c r="D2643" i="3"/>
  <c r="D2644" i="3"/>
  <c r="D2645" i="3"/>
  <c r="D2646" i="3"/>
  <c r="D2647" i="3"/>
  <c r="D2648" i="3"/>
  <c r="D2649" i="3"/>
  <c r="D2650" i="3"/>
  <c r="D2651" i="3"/>
  <c r="D2652" i="3"/>
  <c r="D2653" i="3"/>
  <c r="D2654" i="3"/>
  <c r="D2655" i="3"/>
  <c r="D2656" i="3"/>
  <c r="D2657" i="3"/>
  <c r="D2658" i="3"/>
  <c r="D2659" i="3"/>
  <c r="D2660" i="3"/>
  <c r="D2661" i="3"/>
  <c r="D2662" i="3"/>
  <c r="D2663" i="3"/>
  <c r="D2664" i="3"/>
  <c r="D2665" i="3"/>
  <c r="D2666" i="3"/>
  <c r="D2667" i="3"/>
  <c r="D2668" i="3"/>
  <c r="D2669" i="3"/>
  <c r="D2670" i="3"/>
  <c r="D2671" i="3"/>
  <c r="D2672" i="3"/>
  <c r="D2673" i="3"/>
  <c r="D2674" i="3"/>
  <c r="D2675" i="3"/>
  <c r="D2676" i="3"/>
  <c r="D2677" i="3"/>
  <c r="D2678" i="3"/>
  <c r="D2679" i="3"/>
  <c r="D2680" i="3"/>
  <c r="D2681" i="3"/>
  <c r="D2682" i="3"/>
  <c r="D2683" i="3"/>
  <c r="D2684" i="3"/>
  <c r="D2685" i="3"/>
  <c r="D2686" i="3"/>
  <c r="D2687" i="3"/>
  <c r="D2688" i="3"/>
  <c r="D2689" i="3"/>
  <c r="D2690" i="3"/>
  <c r="D2691" i="3"/>
  <c r="D2692" i="3"/>
  <c r="D2693" i="3"/>
  <c r="D2694" i="3"/>
  <c r="D2695" i="3"/>
  <c r="D2696" i="3"/>
  <c r="D2697" i="3"/>
  <c r="D2698" i="3"/>
  <c r="D2699" i="3"/>
  <c r="D2700" i="3"/>
  <c r="D2701" i="3"/>
  <c r="D2702" i="3"/>
  <c r="D2703" i="3"/>
  <c r="D2704" i="3"/>
  <c r="D2705" i="3"/>
  <c r="D2706" i="3"/>
  <c r="D2707" i="3"/>
  <c r="D2708" i="3"/>
  <c r="D2709" i="3"/>
  <c r="D2710" i="3"/>
  <c r="D2711" i="3"/>
  <c r="D2712" i="3"/>
  <c r="D2713" i="3"/>
  <c r="D2714" i="3"/>
  <c r="D2715" i="3"/>
  <c r="D2716" i="3"/>
  <c r="D2717" i="3"/>
  <c r="D2718" i="3"/>
  <c r="D2719" i="3"/>
  <c r="D2720" i="3"/>
  <c r="D2721" i="3"/>
  <c r="D2722" i="3"/>
  <c r="D2723" i="3"/>
  <c r="D2724" i="3"/>
  <c r="D2725" i="3"/>
  <c r="D2726" i="3"/>
  <c r="D2727" i="3"/>
  <c r="D2728" i="3"/>
  <c r="D2729" i="3"/>
  <c r="D2730" i="3"/>
  <c r="D2731" i="3"/>
  <c r="D2732" i="3"/>
  <c r="D2733" i="3"/>
  <c r="D2734" i="3"/>
  <c r="D2735" i="3"/>
  <c r="D2736" i="3"/>
  <c r="D2737" i="3"/>
  <c r="D2738" i="3"/>
  <c r="D2739" i="3"/>
  <c r="D2740" i="3"/>
  <c r="D2741" i="3"/>
  <c r="D2742" i="3"/>
  <c r="D2743" i="3"/>
  <c r="D2744" i="3"/>
  <c r="D2745" i="3"/>
  <c r="D2746" i="3"/>
  <c r="D2747" i="3"/>
  <c r="D2748" i="3"/>
  <c r="D2749" i="3"/>
  <c r="D2750" i="3"/>
  <c r="D2751" i="3"/>
  <c r="D2752" i="3"/>
  <c r="D2753" i="3"/>
  <c r="D2754" i="3"/>
  <c r="D2755" i="3"/>
  <c r="D2756" i="3"/>
  <c r="D2757" i="3"/>
  <c r="D2758" i="3"/>
  <c r="D2759" i="3"/>
  <c r="D2760" i="3"/>
  <c r="D2761" i="3"/>
  <c r="D2762" i="3"/>
  <c r="D2763" i="3"/>
  <c r="D2764" i="3"/>
  <c r="D2765" i="3"/>
  <c r="D2766" i="3"/>
  <c r="D2767" i="3"/>
  <c r="D2768" i="3"/>
  <c r="D2769" i="3"/>
  <c r="D2770" i="3"/>
  <c r="D2771" i="3"/>
  <c r="D2772" i="3"/>
  <c r="D2773" i="3"/>
  <c r="D2774" i="3"/>
  <c r="D2775" i="3"/>
  <c r="D2776" i="3"/>
  <c r="D2777" i="3"/>
  <c r="D2778" i="3"/>
  <c r="D2779" i="3"/>
  <c r="D2780" i="3"/>
  <c r="D2781" i="3"/>
  <c r="D2782" i="3"/>
  <c r="D2783" i="3"/>
  <c r="D2784" i="3"/>
  <c r="D2785" i="3"/>
  <c r="D2786" i="3"/>
  <c r="D2787" i="3"/>
  <c r="D2788" i="3"/>
  <c r="D2789" i="3"/>
  <c r="D2790" i="3"/>
  <c r="D2791" i="3"/>
  <c r="D2792" i="3"/>
  <c r="D2793" i="3"/>
  <c r="D2794" i="3"/>
  <c r="D2795" i="3"/>
  <c r="D2796" i="3"/>
  <c r="D2797" i="3"/>
  <c r="D2798" i="3"/>
  <c r="D2799" i="3"/>
  <c r="D2800" i="3"/>
  <c r="D2801" i="3"/>
  <c r="D2802" i="3"/>
  <c r="D2803" i="3"/>
  <c r="D2804" i="3"/>
  <c r="D2805" i="3"/>
  <c r="D2806" i="3"/>
  <c r="D2807" i="3"/>
  <c r="D2808" i="3"/>
  <c r="D2809" i="3"/>
  <c r="D2810" i="3"/>
  <c r="D2811" i="3"/>
  <c r="D2812" i="3"/>
  <c r="D2813" i="3"/>
  <c r="D2814" i="3"/>
  <c r="D2815" i="3"/>
  <c r="D2816" i="3"/>
  <c r="D2817" i="3"/>
  <c r="D2818" i="3"/>
  <c r="D2819" i="3"/>
  <c r="D2820" i="3"/>
  <c r="D2821" i="3"/>
  <c r="D2822" i="3"/>
  <c r="D2823" i="3"/>
  <c r="D2824" i="3"/>
  <c r="D2825" i="3"/>
  <c r="D2826" i="3"/>
  <c r="D2827" i="3"/>
  <c r="D2828" i="3"/>
  <c r="D2829" i="3"/>
  <c r="D2830" i="3"/>
  <c r="D2831" i="3"/>
  <c r="D2832" i="3"/>
  <c r="D2833" i="3"/>
  <c r="D2834" i="3"/>
  <c r="D2835" i="3"/>
  <c r="D2836" i="3"/>
  <c r="D2837" i="3"/>
  <c r="D2838" i="3"/>
  <c r="D2839" i="3"/>
  <c r="D2840" i="3"/>
  <c r="D2841" i="3"/>
  <c r="D2842" i="3"/>
  <c r="D2843" i="3"/>
  <c r="D2844" i="3"/>
  <c r="D2845" i="3"/>
  <c r="D2846" i="3"/>
  <c r="D2847" i="3"/>
  <c r="D2848" i="3"/>
  <c r="D2849" i="3"/>
  <c r="D2850" i="3"/>
  <c r="D2851" i="3"/>
  <c r="D2852" i="3"/>
  <c r="D2853" i="3"/>
  <c r="D2854" i="3"/>
  <c r="D2855" i="3"/>
  <c r="D2856" i="3"/>
  <c r="D2857" i="3"/>
  <c r="D2858" i="3"/>
  <c r="D2859" i="3"/>
  <c r="D2860" i="3"/>
  <c r="D2861" i="3"/>
  <c r="D2862" i="3"/>
  <c r="D2863" i="3"/>
  <c r="D2864" i="3"/>
  <c r="D2865" i="3"/>
  <c r="D2866" i="3"/>
  <c r="D2867" i="3"/>
  <c r="D2868" i="3"/>
  <c r="D2869" i="3"/>
  <c r="D2870" i="3"/>
  <c r="D2871" i="3"/>
  <c r="D2872" i="3"/>
  <c r="D2873" i="3"/>
  <c r="D2874" i="3"/>
  <c r="D2875" i="3"/>
  <c r="D2876" i="3"/>
  <c r="D2877" i="3"/>
  <c r="D2878" i="3"/>
  <c r="D2879" i="3"/>
  <c r="D2880" i="3"/>
  <c r="D2881" i="3"/>
  <c r="D2882" i="3"/>
  <c r="D2883" i="3"/>
  <c r="D2884" i="3"/>
  <c r="D2885" i="3"/>
  <c r="D2886" i="3"/>
  <c r="D2887" i="3"/>
  <c r="D2888" i="3"/>
  <c r="D2889" i="3"/>
  <c r="D2890" i="3"/>
  <c r="D2891" i="3"/>
  <c r="D2892" i="3"/>
  <c r="D2893" i="3"/>
  <c r="D2894" i="3"/>
  <c r="D2895" i="3"/>
  <c r="D2896" i="3"/>
  <c r="D2897" i="3"/>
  <c r="D2898" i="3"/>
  <c r="D2899" i="3"/>
  <c r="D2900" i="3"/>
  <c r="D2901" i="3"/>
  <c r="D2902" i="3"/>
  <c r="D2903" i="3"/>
  <c r="D2904" i="3"/>
  <c r="D2905" i="3"/>
  <c r="D2906" i="3"/>
  <c r="D2907" i="3"/>
  <c r="D2908" i="3"/>
  <c r="D2909" i="3"/>
  <c r="D2910" i="3"/>
  <c r="D2911" i="3"/>
  <c r="D2912" i="3"/>
  <c r="D2913" i="3"/>
  <c r="D2914" i="3"/>
  <c r="D2915" i="3"/>
  <c r="D2916" i="3"/>
  <c r="D2917" i="3"/>
  <c r="D2918" i="3"/>
  <c r="D2919" i="3"/>
  <c r="D2920" i="3"/>
  <c r="D2921" i="3"/>
  <c r="D2922" i="3"/>
  <c r="D2923" i="3"/>
  <c r="D2924" i="3"/>
  <c r="D2925" i="3"/>
  <c r="D2926" i="3"/>
  <c r="D2927" i="3"/>
  <c r="D2928" i="3"/>
  <c r="D2929" i="3"/>
  <c r="D2930" i="3"/>
  <c r="D2931" i="3"/>
  <c r="D2932" i="3"/>
  <c r="D2933" i="3"/>
  <c r="D2934" i="3"/>
  <c r="D2935" i="3"/>
  <c r="D2936" i="3"/>
  <c r="D2937" i="3"/>
  <c r="D2938" i="3"/>
  <c r="D2939" i="3"/>
  <c r="D2940" i="3"/>
  <c r="D2941" i="3"/>
  <c r="D2942" i="3"/>
  <c r="D2943" i="3"/>
  <c r="D2944" i="3"/>
  <c r="D2945" i="3"/>
  <c r="D2946" i="3"/>
  <c r="D2947" i="3"/>
  <c r="D2948" i="3"/>
  <c r="D2949" i="3"/>
  <c r="D2950" i="3"/>
  <c r="D2951" i="3"/>
  <c r="D2952" i="3"/>
  <c r="D2953" i="3"/>
  <c r="D2954" i="3"/>
  <c r="D2955" i="3"/>
  <c r="D2956" i="3"/>
  <c r="D2957" i="3"/>
  <c r="D2958" i="3"/>
  <c r="D2959" i="3"/>
  <c r="D2960" i="3"/>
  <c r="D2961" i="3"/>
  <c r="D2962" i="3"/>
  <c r="D2963" i="3"/>
  <c r="D2964" i="3"/>
  <c r="D2965" i="3"/>
  <c r="D2966" i="3"/>
  <c r="D2967" i="3"/>
  <c r="D2968" i="3"/>
  <c r="D2969" i="3"/>
  <c r="D2970" i="3"/>
  <c r="D2971" i="3"/>
  <c r="D2972" i="3"/>
  <c r="D2973" i="3"/>
  <c r="D2974" i="3"/>
  <c r="D2975" i="3"/>
  <c r="D2976" i="3"/>
  <c r="D2977" i="3"/>
  <c r="D2978" i="3"/>
  <c r="D2979" i="3"/>
  <c r="D2980" i="3"/>
  <c r="D2981" i="3"/>
  <c r="D2982" i="3"/>
  <c r="D2983" i="3"/>
  <c r="D2984" i="3"/>
  <c r="D2985" i="3"/>
  <c r="D2986" i="3"/>
  <c r="D2987" i="3"/>
  <c r="D2988" i="3"/>
  <c r="D2989" i="3"/>
  <c r="D2990" i="3"/>
  <c r="D2991" i="3"/>
  <c r="D2992" i="3"/>
  <c r="D2993" i="3"/>
  <c r="D2994" i="3"/>
  <c r="D2995" i="3"/>
  <c r="D2996" i="3"/>
  <c r="D2997" i="3"/>
  <c r="D2998" i="3"/>
  <c r="D2999" i="3"/>
  <c r="D3000" i="3"/>
  <c r="D3001" i="3"/>
  <c r="D3002" i="3"/>
  <c r="D3003" i="3"/>
  <c r="D3004" i="3"/>
  <c r="D3005" i="3"/>
  <c r="D3006" i="3"/>
  <c r="D3007" i="3"/>
  <c r="D3008" i="3"/>
  <c r="D3009" i="3"/>
  <c r="D3010" i="3"/>
  <c r="D3011" i="3"/>
  <c r="D3012" i="3"/>
  <c r="D3013" i="3"/>
  <c r="D3014" i="3"/>
  <c r="D3015" i="3"/>
  <c r="D3016" i="3"/>
  <c r="D3017" i="3"/>
  <c r="D3018" i="3"/>
  <c r="D3019" i="3"/>
  <c r="D3020" i="3"/>
  <c r="D3021" i="3"/>
  <c r="D3022" i="3"/>
  <c r="D3023" i="3"/>
  <c r="D3024" i="3"/>
  <c r="D3025" i="3"/>
  <c r="D3026" i="3"/>
  <c r="D3027" i="3"/>
  <c r="D3028" i="3"/>
  <c r="D3029" i="3"/>
  <c r="D3030" i="3"/>
  <c r="D3031" i="3"/>
  <c r="D3032" i="3"/>
  <c r="D3033" i="3"/>
  <c r="D3034" i="3"/>
  <c r="D3035" i="3"/>
  <c r="D3036" i="3"/>
  <c r="D3037" i="3"/>
  <c r="D3038" i="3"/>
  <c r="D3039" i="3"/>
  <c r="D3040" i="3"/>
  <c r="D3041" i="3"/>
  <c r="D3042" i="3"/>
  <c r="D3043" i="3"/>
  <c r="D3044" i="3"/>
  <c r="D3045" i="3"/>
  <c r="D3046" i="3"/>
  <c r="D3047" i="3"/>
  <c r="D3048" i="3"/>
  <c r="D3049" i="3"/>
  <c r="D3050" i="3"/>
  <c r="D3051" i="3"/>
  <c r="D3052" i="3"/>
  <c r="D3053" i="3"/>
  <c r="D3054" i="3"/>
  <c r="D3055" i="3"/>
  <c r="D3056" i="3"/>
  <c r="D3057" i="3"/>
  <c r="D3058" i="3"/>
  <c r="D3059" i="3"/>
  <c r="D3060" i="3"/>
  <c r="D3061" i="3"/>
  <c r="D3062" i="3"/>
  <c r="D3063" i="3"/>
  <c r="D3064" i="3"/>
  <c r="D3065" i="3"/>
  <c r="D3066" i="3"/>
  <c r="D3067" i="3"/>
  <c r="D3068" i="3"/>
  <c r="D3069" i="3"/>
  <c r="D3070" i="3"/>
  <c r="D3071" i="3"/>
  <c r="D3072" i="3"/>
  <c r="D3073" i="3"/>
  <c r="D3074" i="3"/>
  <c r="D3075" i="3"/>
  <c r="D3076" i="3"/>
  <c r="D3077" i="3"/>
  <c r="D3078" i="3"/>
  <c r="D3079" i="3"/>
  <c r="D3080" i="3"/>
  <c r="D3081" i="3"/>
  <c r="D3082" i="3"/>
  <c r="D3083" i="3"/>
  <c r="D3084" i="3"/>
  <c r="D3085" i="3"/>
  <c r="D3086" i="3"/>
  <c r="D3087" i="3"/>
  <c r="D3088" i="3"/>
  <c r="D3089" i="3"/>
  <c r="D3090" i="3"/>
  <c r="D3091" i="3"/>
  <c r="D3092" i="3"/>
  <c r="D3093" i="3"/>
  <c r="D3094" i="3"/>
  <c r="D3095" i="3"/>
  <c r="D3096" i="3"/>
  <c r="D3097" i="3"/>
  <c r="D3098" i="3"/>
  <c r="D3099" i="3"/>
  <c r="D3100" i="3"/>
  <c r="D3101" i="3"/>
  <c r="D3102" i="3"/>
  <c r="D3103" i="3"/>
  <c r="D3104" i="3"/>
  <c r="D3105" i="3"/>
  <c r="D3106" i="3"/>
  <c r="D3107" i="3"/>
  <c r="D3108" i="3"/>
  <c r="D3109" i="3"/>
  <c r="D3110" i="3"/>
  <c r="D3111" i="3"/>
  <c r="D3112" i="3"/>
  <c r="D3113" i="3"/>
  <c r="D3114" i="3"/>
  <c r="D3115" i="3"/>
  <c r="D3116" i="3"/>
  <c r="D3117" i="3"/>
  <c r="D3118" i="3"/>
  <c r="D3119" i="3"/>
  <c r="D3120" i="3"/>
  <c r="D3121" i="3"/>
  <c r="D3122" i="3"/>
  <c r="D3123" i="3"/>
  <c r="D3124" i="3"/>
  <c r="D3125" i="3"/>
  <c r="D3126" i="3"/>
  <c r="D3127" i="3"/>
  <c r="D3128" i="3"/>
  <c r="D3129" i="3"/>
  <c r="D3130" i="3"/>
  <c r="D3131" i="3"/>
  <c r="D3132" i="3"/>
  <c r="D3133" i="3"/>
  <c r="D3134" i="3"/>
  <c r="D3135" i="3"/>
  <c r="D3136" i="3"/>
  <c r="D3137" i="3"/>
  <c r="D3138" i="3"/>
  <c r="D3139" i="3"/>
  <c r="D3140" i="3"/>
  <c r="D3141" i="3"/>
  <c r="D3142" i="3"/>
  <c r="D3143" i="3"/>
  <c r="D3144" i="3"/>
  <c r="D3145" i="3"/>
  <c r="D3146" i="3"/>
  <c r="D3147" i="3"/>
  <c r="D3148" i="3"/>
  <c r="D3149" i="3"/>
  <c r="D3150" i="3"/>
  <c r="D3151" i="3"/>
  <c r="D3152" i="3"/>
  <c r="D3153" i="3"/>
  <c r="D3154" i="3"/>
  <c r="D3155" i="3"/>
  <c r="D3156" i="3"/>
  <c r="D3157" i="3"/>
  <c r="D3158" i="3"/>
  <c r="D3159" i="3"/>
  <c r="D3160" i="3"/>
  <c r="D3161" i="3"/>
  <c r="D3162" i="3"/>
  <c r="D3163" i="3"/>
  <c r="D3164" i="3"/>
  <c r="D3165" i="3"/>
  <c r="D3166" i="3"/>
  <c r="D3167" i="3"/>
  <c r="D3168" i="3"/>
  <c r="D3169" i="3"/>
  <c r="D3170" i="3"/>
  <c r="D3171" i="3"/>
  <c r="D3172" i="3"/>
  <c r="D3173" i="3"/>
  <c r="D3174" i="3"/>
  <c r="D3175" i="3"/>
  <c r="D3176" i="3"/>
  <c r="D3177" i="3"/>
  <c r="D3178" i="3"/>
  <c r="D3179" i="3"/>
  <c r="D3180" i="3"/>
  <c r="D3181" i="3"/>
  <c r="D3182" i="3"/>
  <c r="D3183" i="3"/>
  <c r="D3184" i="3"/>
  <c r="D3185" i="3"/>
  <c r="D3186" i="3"/>
  <c r="D3187" i="3"/>
  <c r="D3188" i="3"/>
  <c r="D3189" i="3"/>
  <c r="D3190" i="3"/>
  <c r="D3191" i="3"/>
  <c r="D3192" i="3"/>
  <c r="D3193" i="3"/>
  <c r="D3194" i="3"/>
  <c r="D3195" i="3"/>
  <c r="D3196" i="3"/>
  <c r="D3197" i="3"/>
  <c r="D3198" i="3"/>
  <c r="D3199" i="3"/>
  <c r="D3200" i="3"/>
  <c r="D3201" i="3"/>
  <c r="D3202" i="3"/>
  <c r="D3203" i="3"/>
  <c r="D3204" i="3"/>
  <c r="D3205" i="3"/>
  <c r="D3206" i="3"/>
  <c r="D3207" i="3"/>
  <c r="D3208" i="3"/>
  <c r="D3209" i="3"/>
  <c r="D3210" i="3"/>
  <c r="D3211" i="3"/>
  <c r="D3212" i="3"/>
  <c r="D3213" i="3"/>
  <c r="D3214" i="3"/>
  <c r="D3215" i="3"/>
  <c r="D3216" i="3"/>
  <c r="D3217" i="3"/>
  <c r="D3218" i="3"/>
  <c r="D3219" i="3"/>
  <c r="D3220" i="3"/>
  <c r="D3221" i="3"/>
  <c r="D3222" i="3"/>
  <c r="D3223" i="3"/>
  <c r="D3224" i="3"/>
  <c r="D3225" i="3"/>
  <c r="D3226" i="3"/>
  <c r="D3227" i="3"/>
  <c r="D3228" i="3"/>
  <c r="D3229" i="3"/>
  <c r="D3230" i="3"/>
  <c r="D3231" i="3"/>
  <c r="D3232" i="3"/>
  <c r="D3233" i="3"/>
  <c r="D3234" i="3"/>
  <c r="D3235" i="3"/>
  <c r="D3236" i="3"/>
  <c r="D3237" i="3"/>
  <c r="D3238" i="3"/>
  <c r="D3239" i="3"/>
  <c r="D3240" i="3"/>
  <c r="D3241" i="3"/>
  <c r="D3242" i="3"/>
  <c r="D3243" i="3"/>
  <c r="D3244" i="3"/>
  <c r="D3245" i="3"/>
  <c r="D3246" i="3"/>
  <c r="D3247" i="3"/>
  <c r="D3248" i="3"/>
  <c r="D3249" i="3"/>
  <c r="D3250" i="3"/>
  <c r="D3251" i="3"/>
  <c r="D3252" i="3"/>
  <c r="D3253" i="3"/>
  <c r="D3254" i="3"/>
  <c r="D3255" i="3"/>
  <c r="D3256" i="3"/>
  <c r="D3257" i="3"/>
  <c r="D3258" i="3"/>
  <c r="D3259" i="3"/>
  <c r="D3260" i="3"/>
  <c r="D3261" i="3"/>
  <c r="D3262" i="3"/>
  <c r="D3263" i="3"/>
  <c r="D3264" i="3"/>
  <c r="D3265" i="3"/>
  <c r="D3266" i="3"/>
  <c r="D3267" i="3"/>
  <c r="D3268" i="3"/>
  <c r="D3269" i="3"/>
  <c r="D3270" i="3"/>
  <c r="D3271" i="3"/>
  <c r="D3272" i="3"/>
  <c r="D3273" i="3"/>
  <c r="D3274" i="3"/>
  <c r="D3275" i="3"/>
  <c r="D3276" i="3"/>
  <c r="D3277" i="3"/>
  <c r="D3278" i="3"/>
  <c r="D3279" i="3"/>
  <c r="D3280" i="3"/>
  <c r="D3281" i="3"/>
  <c r="D3282" i="3"/>
  <c r="D3283" i="3"/>
  <c r="D3284" i="3"/>
  <c r="D3285" i="3"/>
  <c r="D3286" i="3"/>
  <c r="D3287" i="3"/>
  <c r="D3288" i="3"/>
  <c r="D3289" i="3"/>
  <c r="D3290" i="3"/>
  <c r="D3291" i="3"/>
  <c r="D3292" i="3"/>
  <c r="D3293" i="3"/>
  <c r="D3294" i="3"/>
  <c r="D3295" i="3"/>
  <c r="D3296" i="3"/>
  <c r="D3297" i="3"/>
  <c r="D3298" i="3"/>
  <c r="D3299" i="3"/>
  <c r="D3300" i="3"/>
  <c r="D3301" i="3"/>
  <c r="D3302" i="3"/>
  <c r="D3303" i="3"/>
  <c r="D3304" i="3"/>
  <c r="D3305" i="3"/>
  <c r="D3306" i="3"/>
  <c r="D3307" i="3"/>
  <c r="D3308" i="3"/>
  <c r="D3309" i="3"/>
  <c r="D3310" i="3"/>
  <c r="D3311" i="3"/>
  <c r="D3312" i="3"/>
  <c r="D3313" i="3"/>
  <c r="D3314" i="3"/>
  <c r="D3315" i="3"/>
  <c r="D3316" i="3"/>
  <c r="D3317" i="3"/>
  <c r="D3318" i="3"/>
  <c r="D3319" i="3"/>
  <c r="D3320" i="3"/>
  <c r="D3321" i="3"/>
  <c r="D3322" i="3"/>
  <c r="D3323" i="3"/>
  <c r="D3324" i="3"/>
  <c r="D3325" i="3"/>
  <c r="D3326" i="3"/>
  <c r="D3327" i="3"/>
  <c r="D3328" i="3"/>
  <c r="D3329" i="3"/>
  <c r="D3330" i="3"/>
  <c r="D3331" i="3"/>
  <c r="D3332" i="3"/>
  <c r="D3333" i="3"/>
  <c r="D3334" i="3"/>
  <c r="D3335" i="3"/>
  <c r="D3336" i="3"/>
  <c r="D3337" i="3"/>
  <c r="D3338" i="3"/>
  <c r="D3339" i="3"/>
  <c r="D3340" i="3"/>
  <c r="D3341" i="3"/>
  <c r="D3342" i="3"/>
  <c r="D3343" i="3"/>
  <c r="D3344" i="3"/>
  <c r="D3345" i="3"/>
  <c r="D3346" i="3"/>
  <c r="D3347" i="3"/>
  <c r="D3348" i="3"/>
  <c r="D3349" i="3"/>
  <c r="D3350" i="3"/>
  <c r="D3351" i="3"/>
  <c r="D3352" i="3"/>
  <c r="D3353" i="3"/>
  <c r="D3354" i="3"/>
  <c r="D3355" i="3"/>
  <c r="D3356" i="3"/>
  <c r="D3357" i="3"/>
  <c r="D3358" i="3"/>
  <c r="D3359" i="3"/>
  <c r="D3360" i="3"/>
  <c r="D3361" i="3"/>
  <c r="D3362" i="3"/>
  <c r="D3363" i="3"/>
  <c r="D3364" i="3"/>
  <c r="D3365" i="3"/>
  <c r="D3366" i="3"/>
  <c r="D3367" i="3"/>
  <c r="D3368" i="3"/>
  <c r="D3369" i="3"/>
  <c r="D3370" i="3"/>
  <c r="D3371" i="3"/>
  <c r="D3372" i="3"/>
  <c r="D3373" i="3"/>
  <c r="D3374" i="3"/>
  <c r="D3375" i="3"/>
  <c r="D3376" i="3"/>
  <c r="D3377" i="3"/>
  <c r="D3378" i="3"/>
  <c r="D3379" i="3"/>
  <c r="D3380" i="3"/>
  <c r="D3381" i="3"/>
  <c r="D3382" i="3"/>
  <c r="D3383" i="3"/>
  <c r="D3384" i="3"/>
  <c r="D3385" i="3"/>
  <c r="D3386" i="3"/>
  <c r="D3387" i="3"/>
  <c r="D3388" i="3"/>
  <c r="D3389" i="3"/>
  <c r="D3390" i="3"/>
  <c r="D3391" i="3"/>
  <c r="D3392" i="3"/>
  <c r="D3393" i="3"/>
  <c r="D3394" i="3"/>
  <c r="D3395" i="3"/>
  <c r="D3396" i="3"/>
  <c r="D3397" i="3"/>
  <c r="D3398" i="3"/>
  <c r="D3399" i="3"/>
  <c r="D3400" i="3"/>
  <c r="D3401" i="3"/>
  <c r="D3402" i="3"/>
  <c r="D3403" i="3"/>
  <c r="D3404" i="3"/>
  <c r="D3405" i="3"/>
  <c r="D3406" i="3"/>
  <c r="D3407" i="3"/>
  <c r="D3408" i="3"/>
  <c r="D3409" i="3"/>
  <c r="D3410" i="3"/>
  <c r="D3411" i="3"/>
  <c r="D3412" i="3"/>
  <c r="D3413" i="3"/>
  <c r="D3414" i="3"/>
  <c r="D3415" i="3"/>
  <c r="D3416" i="3"/>
  <c r="D3417" i="3"/>
  <c r="D3418" i="3"/>
  <c r="D3419" i="3"/>
  <c r="D3420" i="3"/>
  <c r="D3421" i="3"/>
  <c r="D3422" i="3"/>
  <c r="D3423" i="3"/>
  <c r="D3424" i="3"/>
  <c r="D3425" i="3"/>
  <c r="D3426" i="3"/>
  <c r="D3427" i="3"/>
  <c r="D3428" i="3"/>
  <c r="D3429" i="3"/>
  <c r="D3430" i="3"/>
  <c r="D3431" i="3"/>
  <c r="D3432" i="3"/>
  <c r="D3433" i="3"/>
  <c r="D3434" i="3"/>
  <c r="D3435" i="3"/>
  <c r="D3436" i="3"/>
  <c r="D3437" i="3"/>
  <c r="D3438" i="3"/>
  <c r="D3439" i="3"/>
  <c r="D3440" i="3"/>
  <c r="D3441" i="3"/>
  <c r="D3442" i="3"/>
  <c r="D3443" i="3"/>
  <c r="D3444" i="3"/>
  <c r="D3445" i="3"/>
  <c r="D3446" i="3"/>
  <c r="D3447" i="3"/>
  <c r="D3448" i="3"/>
  <c r="D3449" i="3"/>
  <c r="D3450" i="3"/>
  <c r="D3451" i="3"/>
  <c r="D3452" i="3"/>
  <c r="D3453" i="3"/>
  <c r="D3454" i="3"/>
  <c r="D3455" i="3"/>
  <c r="D3456" i="3"/>
  <c r="D3457" i="3"/>
  <c r="D3458" i="3"/>
  <c r="D3459" i="3"/>
  <c r="D3460" i="3"/>
  <c r="D3461" i="3"/>
  <c r="D3462" i="3"/>
  <c r="D3463" i="3"/>
  <c r="D3464" i="3"/>
  <c r="D3465" i="3"/>
  <c r="D3466" i="3"/>
  <c r="D3467" i="3"/>
  <c r="D3468" i="3"/>
  <c r="D3469" i="3"/>
  <c r="D3470" i="3"/>
  <c r="D3471" i="3"/>
  <c r="D3472" i="3"/>
  <c r="D3473" i="3"/>
  <c r="D3474" i="3"/>
  <c r="D3475" i="3"/>
  <c r="D3476" i="3"/>
  <c r="D3477" i="3"/>
  <c r="D3478" i="3"/>
  <c r="D3479" i="3"/>
  <c r="D3480" i="3"/>
  <c r="D3481" i="3"/>
  <c r="D3482" i="3"/>
  <c r="D3483" i="3"/>
  <c r="D3484" i="3"/>
  <c r="D3485" i="3"/>
  <c r="D3486" i="3"/>
  <c r="D3487" i="3"/>
  <c r="D3488" i="3"/>
  <c r="D3489" i="3"/>
  <c r="D3490" i="3"/>
  <c r="D3491" i="3"/>
  <c r="D3492" i="3"/>
  <c r="D3493" i="3"/>
  <c r="D3494" i="3"/>
  <c r="D3495" i="3"/>
  <c r="D3496" i="3"/>
  <c r="D3497" i="3"/>
  <c r="D3498" i="3"/>
  <c r="D3499" i="3"/>
  <c r="D3500" i="3"/>
  <c r="D3501" i="3"/>
  <c r="D3502" i="3"/>
  <c r="D3503" i="3"/>
  <c r="D3504" i="3"/>
  <c r="D3505" i="3"/>
  <c r="D3506" i="3"/>
  <c r="D3507" i="3"/>
  <c r="D3508" i="3"/>
  <c r="D3509" i="3"/>
  <c r="D3510" i="3"/>
  <c r="D3511" i="3"/>
  <c r="D3512" i="3"/>
  <c r="D3513" i="3"/>
  <c r="D3514" i="3"/>
  <c r="D3515" i="3"/>
  <c r="D3516" i="3"/>
  <c r="D3517" i="3"/>
  <c r="D3518" i="3"/>
  <c r="D3519" i="3"/>
  <c r="D3520" i="3"/>
  <c r="D3521" i="3"/>
  <c r="D3522" i="3"/>
  <c r="D3523" i="3"/>
  <c r="D3524" i="3"/>
  <c r="D3525" i="3"/>
  <c r="D3526" i="3"/>
  <c r="D3527" i="3"/>
  <c r="D3528" i="3"/>
  <c r="D3529" i="3"/>
  <c r="D3530" i="3"/>
  <c r="D3531" i="3"/>
  <c r="D3532" i="3"/>
  <c r="D3533" i="3"/>
  <c r="D3534" i="3"/>
  <c r="D3535" i="3"/>
  <c r="D3536" i="3"/>
  <c r="D3537" i="3"/>
  <c r="D3538" i="3"/>
  <c r="D3539" i="3"/>
  <c r="D3540" i="3"/>
  <c r="D3541" i="3"/>
  <c r="D3542" i="3"/>
  <c r="D3543" i="3"/>
  <c r="D3544" i="3"/>
  <c r="D3545" i="3"/>
  <c r="D3546" i="3"/>
  <c r="D3547" i="3"/>
  <c r="D3548" i="3"/>
  <c r="D3549" i="3"/>
  <c r="D3550" i="3"/>
  <c r="D3551" i="3"/>
  <c r="D3552" i="3"/>
  <c r="D3553" i="3"/>
  <c r="D3554" i="3"/>
  <c r="D3555" i="3"/>
  <c r="D3556" i="3"/>
  <c r="D3557" i="3"/>
  <c r="D3558" i="3"/>
  <c r="D3559" i="3"/>
  <c r="D3560" i="3"/>
  <c r="D3561" i="3"/>
  <c r="D3562" i="3"/>
  <c r="D3563" i="3"/>
  <c r="D3564" i="3"/>
  <c r="D3565" i="3"/>
  <c r="D3566" i="3"/>
  <c r="D3567" i="3"/>
  <c r="D3568" i="3"/>
  <c r="D3569" i="3"/>
  <c r="D3570" i="3"/>
  <c r="D3571" i="3"/>
  <c r="D3572" i="3"/>
  <c r="D3573" i="3"/>
  <c r="D3574" i="3"/>
  <c r="D3575" i="3"/>
  <c r="D3576" i="3"/>
  <c r="D3577" i="3"/>
  <c r="D3578" i="3"/>
  <c r="D3579" i="3"/>
  <c r="D3580" i="3"/>
  <c r="D3581" i="3"/>
  <c r="D3582" i="3"/>
  <c r="D3583" i="3"/>
  <c r="D3584" i="3"/>
  <c r="D3585" i="3"/>
  <c r="D3586" i="3"/>
  <c r="D3587" i="3"/>
  <c r="D3588" i="3"/>
  <c r="D3589" i="3"/>
  <c r="D3590" i="3"/>
  <c r="D3591" i="3"/>
  <c r="D3592" i="3"/>
  <c r="D3593" i="3"/>
  <c r="D3594" i="3"/>
  <c r="D3595" i="3"/>
  <c r="D3596" i="3"/>
  <c r="D3597" i="3"/>
  <c r="D3598" i="3"/>
  <c r="D3599" i="3"/>
  <c r="D3600" i="3"/>
  <c r="D3601" i="3"/>
  <c r="D3602" i="3"/>
  <c r="D3603" i="3"/>
  <c r="D3604" i="3"/>
  <c r="D3605" i="3"/>
  <c r="D3606" i="3"/>
  <c r="D3607" i="3"/>
  <c r="D3608" i="3"/>
  <c r="D3609" i="3"/>
  <c r="D3610" i="3"/>
  <c r="D3611" i="3"/>
  <c r="D3612" i="3"/>
  <c r="D3613" i="3"/>
  <c r="D3614" i="3"/>
  <c r="D3615" i="3"/>
  <c r="D3616" i="3"/>
  <c r="D3617" i="3"/>
  <c r="D3618" i="3"/>
  <c r="D3619" i="3"/>
  <c r="D3620" i="3"/>
  <c r="D3621" i="3"/>
  <c r="D3622" i="3"/>
  <c r="D3623" i="3"/>
  <c r="D3624" i="3"/>
  <c r="D3625" i="3"/>
  <c r="D3626" i="3"/>
  <c r="D3627" i="3"/>
  <c r="D3628" i="3"/>
  <c r="D3629" i="3"/>
  <c r="D3630" i="3"/>
  <c r="D3631" i="3"/>
  <c r="D3632" i="3"/>
  <c r="D3633" i="3"/>
  <c r="D3634" i="3"/>
  <c r="D3635" i="3"/>
  <c r="D3636" i="3"/>
  <c r="D3637" i="3"/>
  <c r="D3638" i="3"/>
  <c r="D3639" i="3"/>
  <c r="D3640" i="3"/>
  <c r="D3641" i="3"/>
  <c r="D3642" i="3"/>
  <c r="D3643" i="3"/>
  <c r="D3644" i="3"/>
  <c r="D3645" i="3"/>
  <c r="D3646" i="3"/>
  <c r="D3647" i="3"/>
  <c r="D3648" i="3"/>
  <c r="D3649" i="3"/>
  <c r="D3650" i="3"/>
  <c r="D3651" i="3"/>
  <c r="D3652" i="3"/>
  <c r="D3653" i="3"/>
  <c r="D3654" i="3"/>
  <c r="D3655" i="3"/>
  <c r="D3656" i="3"/>
  <c r="D3657" i="3"/>
  <c r="D3658" i="3"/>
  <c r="D3659" i="3"/>
  <c r="D3660" i="3"/>
  <c r="D3661" i="3"/>
  <c r="D3662" i="3"/>
  <c r="D3663" i="3"/>
  <c r="D3664" i="3"/>
  <c r="D3665" i="3"/>
  <c r="D3666" i="3"/>
  <c r="D3667" i="3"/>
  <c r="D3668" i="3"/>
  <c r="D3669" i="3"/>
  <c r="D3670" i="3"/>
  <c r="D3671" i="3"/>
  <c r="D3672" i="3"/>
  <c r="D3673" i="3"/>
  <c r="D3674" i="3"/>
  <c r="D3675" i="3"/>
  <c r="D3676" i="3"/>
  <c r="D3677" i="3"/>
  <c r="D3678" i="3"/>
  <c r="D3679" i="3"/>
  <c r="D3680" i="3"/>
  <c r="D3681" i="3"/>
  <c r="D3682" i="3"/>
  <c r="D3683" i="3"/>
  <c r="D3684" i="3"/>
  <c r="D3685" i="3"/>
  <c r="D3686" i="3"/>
  <c r="D3687" i="3"/>
  <c r="D3688" i="3"/>
  <c r="D3689" i="3"/>
  <c r="D3690" i="3"/>
  <c r="D3691" i="3"/>
  <c r="D3692" i="3"/>
  <c r="D3693" i="3"/>
  <c r="D3694" i="3"/>
  <c r="D3695" i="3"/>
  <c r="D3696" i="3"/>
  <c r="D3697" i="3"/>
  <c r="D3698" i="3"/>
  <c r="D3699" i="3"/>
  <c r="D3700" i="3"/>
  <c r="D3701" i="3"/>
  <c r="D3702" i="3"/>
  <c r="D3703" i="3"/>
  <c r="D3704" i="3"/>
  <c r="D3705" i="3"/>
  <c r="D3706" i="3"/>
  <c r="D3707" i="3"/>
  <c r="D3708" i="3"/>
  <c r="D3709" i="3"/>
  <c r="D3710" i="3"/>
  <c r="D3711" i="3"/>
  <c r="D3712" i="3"/>
  <c r="D3713" i="3"/>
  <c r="D3714" i="3"/>
  <c r="D3715" i="3"/>
  <c r="D3716" i="3"/>
  <c r="D3717" i="3"/>
  <c r="D3718" i="3"/>
  <c r="D3719" i="3"/>
  <c r="D3720" i="3"/>
  <c r="D3721" i="3"/>
  <c r="D3722" i="3"/>
  <c r="D3723" i="3"/>
  <c r="D3724" i="3"/>
  <c r="D3725" i="3"/>
  <c r="D3726" i="3"/>
  <c r="D3727" i="3"/>
  <c r="D3728" i="3"/>
  <c r="D3729" i="3"/>
  <c r="D3730" i="3"/>
  <c r="D3731" i="3"/>
  <c r="D3732" i="3"/>
  <c r="D3733" i="3"/>
  <c r="D3734" i="3"/>
  <c r="D3735" i="3"/>
  <c r="D3736" i="3"/>
  <c r="D3737" i="3"/>
  <c r="D3738" i="3"/>
  <c r="D3739" i="3"/>
  <c r="D3740" i="3"/>
  <c r="D3741" i="3"/>
  <c r="D3742" i="3"/>
  <c r="D3743" i="3"/>
  <c r="D3744" i="3"/>
  <c r="D3745" i="3"/>
  <c r="D3746" i="3"/>
  <c r="D3747" i="3"/>
  <c r="D3748" i="3"/>
  <c r="D3749" i="3"/>
  <c r="D3750" i="3"/>
  <c r="D3751" i="3"/>
  <c r="D3752" i="3"/>
  <c r="D3753" i="3"/>
  <c r="D3754" i="3"/>
  <c r="D3755" i="3"/>
  <c r="D3756" i="3"/>
  <c r="D3757" i="3"/>
  <c r="D3758" i="3"/>
  <c r="D3759" i="3"/>
  <c r="D3760" i="3"/>
  <c r="D3761" i="3"/>
  <c r="D3762" i="3"/>
  <c r="D3763" i="3"/>
  <c r="D3764" i="3"/>
  <c r="D3765" i="3"/>
  <c r="D3766" i="3"/>
  <c r="D3767" i="3"/>
  <c r="D3768" i="3"/>
  <c r="D3769" i="3"/>
  <c r="D3770" i="3"/>
  <c r="D3771" i="3"/>
  <c r="D3772" i="3"/>
  <c r="D3773" i="3"/>
  <c r="D3774" i="3"/>
  <c r="D3775" i="3"/>
  <c r="D3776" i="3"/>
  <c r="D3777" i="3"/>
  <c r="D3778" i="3"/>
  <c r="D3779" i="3"/>
  <c r="D3780" i="3"/>
  <c r="D3781" i="3"/>
  <c r="D3782" i="3"/>
  <c r="D3783" i="3"/>
  <c r="D3784" i="3"/>
  <c r="D3785" i="3"/>
  <c r="D3786" i="3"/>
  <c r="D3787" i="3"/>
  <c r="D3788" i="3"/>
  <c r="D3789" i="3"/>
  <c r="D3790" i="3"/>
  <c r="D3791" i="3"/>
  <c r="D3792" i="3"/>
  <c r="D3793" i="3"/>
  <c r="D3794" i="3"/>
  <c r="D3795" i="3"/>
  <c r="D3796" i="3"/>
  <c r="D3797" i="3"/>
  <c r="D3798" i="3"/>
  <c r="D3799" i="3"/>
  <c r="D3800" i="3"/>
  <c r="D3801" i="3"/>
  <c r="D3802" i="3"/>
  <c r="D3803" i="3"/>
  <c r="D3804" i="3"/>
  <c r="D3805" i="3"/>
  <c r="D3806" i="3"/>
  <c r="D3807" i="3"/>
  <c r="D3808" i="3"/>
  <c r="D3809" i="3"/>
  <c r="D3810" i="3"/>
  <c r="D3811" i="3"/>
  <c r="D3812" i="3"/>
  <c r="D3813" i="3"/>
  <c r="D3814" i="3"/>
  <c r="D3815" i="3"/>
  <c r="D3816" i="3"/>
  <c r="D3817" i="3"/>
  <c r="D3818" i="3"/>
  <c r="D3819" i="3"/>
  <c r="D3820" i="3"/>
  <c r="D3821" i="3"/>
  <c r="D3822" i="3"/>
  <c r="D3823" i="3"/>
  <c r="D3824" i="3"/>
  <c r="D3825" i="3"/>
  <c r="D3826" i="3"/>
  <c r="D3827" i="3"/>
  <c r="D3828" i="3"/>
  <c r="D3829" i="3"/>
  <c r="D3830" i="3"/>
  <c r="D3831" i="3"/>
  <c r="D3832" i="3"/>
  <c r="D3833" i="3"/>
  <c r="D3834" i="3"/>
  <c r="D3835" i="3"/>
  <c r="D3836" i="3"/>
  <c r="D3837" i="3"/>
  <c r="D3838" i="3"/>
  <c r="D3839" i="3"/>
  <c r="D3840" i="3"/>
  <c r="D3841" i="3"/>
  <c r="D3842" i="3"/>
  <c r="D3843" i="3"/>
  <c r="D3844" i="3"/>
  <c r="D3845" i="3"/>
  <c r="D3846" i="3"/>
  <c r="D3847" i="3"/>
  <c r="D3848" i="3"/>
  <c r="D3849" i="3"/>
  <c r="D3850" i="3"/>
  <c r="D3851" i="3"/>
  <c r="D3852" i="3"/>
  <c r="D3853" i="3"/>
  <c r="D3854" i="3"/>
  <c r="D3855" i="3"/>
  <c r="D3856" i="3"/>
  <c r="D3857" i="3"/>
  <c r="D3858" i="3"/>
  <c r="D3859" i="3"/>
  <c r="D3860" i="3"/>
  <c r="D3861" i="3"/>
  <c r="D3862" i="3"/>
  <c r="D3863" i="3"/>
  <c r="D3864" i="3"/>
  <c r="D3865" i="3"/>
  <c r="D3866" i="3"/>
  <c r="D3867" i="3"/>
  <c r="D3868" i="3"/>
  <c r="D3869" i="3"/>
  <c r="D3870" i="3"/>
  <c r="D3871" i="3"/>
  <c r="D3872" i="3"/>
  <c r="D3873" i="3"/>
  <c r="D3874" i="3"/>
  <c r="D3875" i="3"/>
  <c r="D3876" i="3"/>
  <c r="D3877" i="3"/>
  <c r="D3878" i="3"/>
  <c r="D3879" i="3"/>
  <c r="D3880" i="3"/>
  <c r="D3881" i="3"/>
  <c r="D3882" i="3"/>
  <c r="D3883" i="3"/>
  <c r="D3884" i="3"/>
  <c r="D3885" i="3"/>
  <c r="D3886" i="3"/>
  <c r="D3887" i="3"/>
  <c r="D3888" i="3"/>
  <c r="D3889" i="3"/>
  <c r="D3890" i="3"/>
  <c r="D3891" i="3"/>
  <c r="D3892" i="3"/>
  <c r="D3893" i="3"/>
  <c r="D3894" i="3"/>
  <c r="D3895" i="3"/>
  <c r="D3896" i="3"/>
  <c r="D3897" i="3"/>
  <c r="D3898" i="3"/>
  <c r="D3899" i="3"/>
  <c r="D3900" i="3"/>
  <c r="D3901" i="3"/>
  <c r="D3902" i="3"/>
  <c r="D3903" i="3"/>
  <c r="D3904" i="3"/>
  <c r="D3905" i="3"/>
  <c r="D3906" i="3"/>
  <c r="D3907" i="3"/>
  <c r="D3908" i="3"/>
  <c r="D3909" i="3"/>
  <c r="D3910" i="3"/>
  <c r="D3911" i="3"/>
  <c r="D3912" i="3"/>
  <c r="D3913" i="3"/>
  <c r="D3914" i="3"/>
  <c r="D3915" i="3"/>
  <c r="D3916" i="3"/>
  <c r="D3917" i="3"/>
  <c r="D3918" i="3"/>
  <c r="D3919" i="3"/>
  <c r="D3920" i="3"/>
  <c r="D3921" i="3"/>
  <c r="D3922" i="3"/>
  <c r="D3923" i="3"/>
  <c r="D3924" i="3"/>
  <c r="D3925" i="3"/>
  <c r="D3926" i="3"/>
  <c r="D3927" i="3"/>
  <c r="D3928" i="3"/>
  <c r="D3929" i="3"/>
  <c r="D3930" i="3"/>
  <c r="D3931" i="3"/>
  <c r="D3932" i="3"/>
  <c r="D3933" i="3"/>
  <c r="D3934" i="3"/>
  <c r="D3935" i="3"/>
  <c r="D3936" i="3"/>
  <c r="D3937" i="3"/>
  <c r="D3938" i="3"/>
  <c r="D3939" i="3"/>
  <c r="D3940" i="3"/>
  <c r="D3941" i="3"/>
  <c r="D3942" i="3"/>
  <c r="D3943" i="3"/>
  <c r="D3944" i="3"/>
  <c r="D3945" i="3"/>
  <c r="D3946" i="3"/>
  <c r="D3947" i="3"/>
  <c r="D3948" i="3"/>
  <c r="D3949" i="3"/>
  <c r="D3950" i="3"/>
  <c r="D3951" i="3"/>
  <c r="D3952" i="3"/>
  <c r="D3953" i="3"/>
  <c r="D3954" i="3"/>
  <c r="D3955" i="3"/>
  <c r="D3956" i="3"/>
  <c r="D3957" i="3"/>
  <c r="D3958" i="3"/>
  <c r="D3959" i="3"/>
  <c r="D3960" i="3"/>
  <c r="D3961" i="3"/>
  <c r="D3962" i="3"/>
  <c r="D3963" i="3"/>
  <c r="D3964" i="3"/>
  <c r="D3965" i="3"/>
  <c r="D3966" i="3"/>
  <c r="D3967" i="3"/>
  <c r="D3968" i="3"/>
  <c r="D3969" i="3"/>
  <c r="D3970" i="3"/>
  <c r="D3971" i="3"/>
  <c r="D3972" i="3"/>
  <c r="D3973" i="3"/>
  <c r="D3974" i="3"/>
  <c r="D3975" i="3"/>
  <c r="D3976" i="3"/>
  <c r="D3977" i="3"/>
  <c r="D3978" i="3"/>
  <c r="D3979" i="3"/>
  <c r="D3980" i="3"/>
  <c r="D3981" i="3"/>
  <c r="D3982" i="3"/>
  <c r="D3983" i="3"/>
  <c r="D3984" i="3"/>
  <c r="D3985" i="3"/>
  <c r="D3986" i="3"/>
  <c r="D3987" i="3"/>
  <c r="D3988" i="3"/>
  <c r="D3989" i="3"/>
  <c r="D3990" i="3"/>
  <c r="D3991" i="3"/>
  <c r="D3992" i="3"/>
  <c r="D3993" i="3"/>
  <c r="D3994" i="3"/>
  <c r="D3995" i="3"/>
  <c r="D3996" i="3"/>
  <c r="D3997" i="3"/>
  <c r="D3998" i="3"/>
  <c r="D3999" i="3"/>
  <c r="D4000" i="3"/>
  <c r="D4001" i="3"/>
  <c r="D4002" i="3"/>
  <c r="D4003" i="3"/>
  <c r="D4004" i="3"/>
  <c r="D4005" i="3"/>
  <c r="D4006" i="3"/>
  <c r="D4007" i="3"/>
  <c r="D4008" i="3"/>
  <c r="D4009" i="3"/>
  <c r="D4010" i="3"/>
  <c r="D4011" i="3"/>
  <c r="D4012" i="3"/>
  <c r="D4013" i="3"/>
  <c r="D4014" i="3"/>
  <c r="D4015" i="3"/>
  <c r="D4016" i="3"/>
  <c r="D4017" i="3"/>
  <c r="D4018" i="3"/>
  <c r="D4019" i="3"/>
  <c r="D4020" i="3"/>
  <c r="D4021" i="3"/>
  <c r="D4022" i="3"/>
  <c r="D4023" i="3"/>
  <c r="D4024" i="3"/>
  <c r="D4025" i="3"/>
  <c r="D4026" i="3"/>
  <c r="D4027" i="3"/>
  <c r="D4028" i="3"/>
  <c r="D4029" i="3"/>
  <c r="D4030" i="3"/>
  <c r="D4031" i="3"/>
  <c r="D4032" i="3"/>
  <c r="D4033" i="3"/>
  <c r="D4034" i="3"/>
  <c r="D4035" i="3"/>
  <c r="D4036" i="3"/>
  <c r="D4037" i="3"/>
  <c r="D4038" i="3"/>
  <c r="D4039" i="3"/>
  <c r="D4040" i="3"/>
  <c r="D4041" i="3"/>
  <c r="D4042" i="3"/>
  <c r="D4043" i="3"/>
  <c r="D4044" i="3"/>
  <c r="D4045" i="3"/>
  <c r="D4046" i="3"/>
  <c r="D4047" i="3"/>
  <c r="D4048" i="3"/>
  <c r="D4049" i="3"/>
  <c r="D4050" i="3"/>
  <c r="D4051" i="3"/>
  <c r="D4052" i="3"/>
  <c r="D4053" i="3"/>
  <c r="D4054" i="3"/>
  <c r="D4055" i="3"/>
  <c r="D4056" i="3"/>
  <c r="D4057" i="3"/>
  <c r="D4058" i="3"/>
  <c r="D4059" i="3"/>
  <c r="D4060" i="3"/>
  <c r="D4061" i="3"/>
  <c r="D4062" i="3"/>
  <c r="D4063" i="3"/>
  <c r="D4064" i="3"/>
  <c r="D4065" i="3"/>
  <c r="D4066" i="3"/>
  <c r="D4067" i="3"/>
  <c r="D4068" i="3"/>
  <c r="D4069" i="3"/>
  <c r="D4070" i="3"/>
  <c r="D4071" i="3"/>
  <c r="D4072" i="3"/>
  <c r="D4073" i="3"/>
  <c r="D4074" i="3"/>
  <c r="D4075" i="3"/>
  <c r="D4076" i="3"/>
  <c r="D4077" i="3"/>
  <c r="D4078" i="3"/>
  <c r="D4079" i="3"/>
  <c r="D4080" i="3"/>
  <c r="D4081" i="3"/>
  <c r="D4082" i="3"/>
  <c r="D4083" i="3"/>
  <c r="D4084" i="3"/>
  <c r="D4085" i="3"/>
  <c r="D4086" i="3"/>
  <c r="D4087" i="3"/>
  <c r="D4088" i="3"/>
  <c r="D4089" i="3"/>
  <c r="D4090" i="3"/>
  <c r="D4091" i="3"/>
  <c r="D4092" i="3"/>
  <c r="D4093" i="3"/>
  <c r="D2" i="3"/>
  <c r="O3" i="3" l="1"/>
  <c r="L10" i="1" s="1"/>
  <c r="N3" i="3"/>
  <c r="E269" i="3"/>
  <c r="E261" i="3"/>
  <c r="E253" i="3"/>
  <c r="E245" i="3"/>
  <c r="E237" i="3"/>
  <c r="E229" i="3"/>
  <c r="E221" i="3"/>
  <c r="E213" i="3"/>
  <c r="E205" i="3"/>
  <c r="E197" i="3"/>
  <c r="E189" i="3"/>
  <c r="E181" i="3"/>
  <c r="E173" i="3"/>
  <c r="E165" i="3"/>
  <c r="E157" i="3"/>
  <c r="E149" i="3"/>
  <c r="E141" i="3"/>
  <c r="E133" i="3"/>
  <c r="E125" i="3"/>
  <c r="E117" i="3"/>
  <c r="E109" i="3"/>
  <c r="E101" i="3"/>
  <c r="E93" i="3"/>
  <c r="E85" i="3"/>
  <c r="E77" i="3"/>
  <c r="E69" i="3"/>
  <c r="E61" i="3"/>
  <c r="E53" i="3"/>
  <c r="E45" i="3"/>
  <c r="E37" i="3"/>
  <c r="E29" i="3"/>
  <c r="E21" i="3"/>
  <c r="E13" i="3"/>
  <c r="E5" i="3"/>
  <c r="E266" i="3"/>
  <c r="E258" i="3"/>
  <c r="E250" i="3"/>
  <c r="E242" i="3"/>
  <c r="E234" i="3"/>
  <c r="E226" i="3"/>
  <c r="E218" i="3"/>
  <c r="E210" i="3"/>
  <c r="E202" i="3"/>
  <c r="E194" i="3"/>
  <c r="E186" i="3"/>
  <c r="E178" i="3"/>
  <c r="E170" i="3"/>
  <c r="E162" i="3"/>
  <c r="E154" i="3"/>
  <c r="E146" i="3"/>
  <c r="E138" i="3"/>
  <c r="E130" i="3"/>
  <c r="E122" i="3"/>
  <c r="E114" i="3"/>
  <c r="E106" i="3"/>
  <c r="E98" i="3"/>
  <c r="E90" i="3"/>
  <c r="E82" i="3"/>
  <c r="E74" i="3"/>
  <c r="E66" i="3"/>
  <c r="E58" i="3"/>
  <c r="E50" i="3"/>
  <c r="E42" i="3"/>
  <c r="E34" i="3"/>
  <c r="E26" i="3"/>
  <c r="E18" i="3"/>
  <c r="E10" i="3"/>
  <c r="O15" i="1"/>
  <c r="N15" i="1"/>
  <c r="L15" i="1"/>
  <c r="K15" i="1"/>
  <c r="I15" i="1"/>
  <c r="H15" i="1"/>
  <c r="F15" i="1"/>
  <c r="D15" i="1"/>
  <c r="C15" i="1"/>
  <c r="O10" i="1" l="1"/>
  <c r="K10" i="1"/>
  <c r="N10" i="1"/>
  <c r="M3" i="3"/>
  <c r="I10" i="1" s="1"/>
  <c r="L3" i="3"/>
  <c r="H10" i="1" s="1"/>
  <c r="O7" i="1"/>
  <c r="N7" i="1"/>
  <c r="P7" i="1" s="1"/>
  <c r="O6" i="1"/>
  <c r="N6" i="1"/>
  <c r="P6" i="1" s="1"/>
  <c r="O5" i="1"/>
  <c r="N5" i="1"/>
  <c r="O4" i="1"/>
  <c r="N4" i="1"/>
  <c r="K4" i="1"/>
  <c r="P4" i="1" l="1"/>
  <c r="P10" i="1"/>
  <c r="P5" i="1"/>
  <c r="O11" i="1"/>
  <c r="N11" i="1"/>
  <c r="P11" i="1" s="1"/>
  <c r="L11" i="1"/>
  <c r="K11" i="1"/>
  <c r="M11" i="1" s="1"/>
  <c r="I11" i="1"/>
  <c r="H11" i="1"/>
  <c r="J11" i="1" s="1"/>
  <c r="F11" i="1"/>
  <c r="D11" i="1"/>
  <c r="C11" i="1"/>
  <c r="L4" i="1"/>
  <c r="M4" i="1" s="1"/>
  <c r="I4" i="1"/>
  <c r="H4" i="1"/>
  <c r="J4" i="1" s="1"/>
  <c r="F4" i="1"/>
  <c r="D4" i="1"/>
  <c r="G11" i="1" l="1"/>
  <c r="E11" i="1"/>
  <c r="G4" i="1"/>
  <c r="E4" i="1"/>
  <c r="M10" i="1"/>
  <c r="J10" i="1"/>
  <c r="L7" i="1"/>
  <c r="K7" i="1"/>
  <c r="M7" i="1" s="1"/>
  <c r="I7" i="1"/>
  <c r="H7" i="1"/>
  <c r="J7" i="1" s="1"/>
  <c r="F7" i="1"/>
  <c r="D7" i="1"/>
  <c r="C7" i="1"/>
  <c r="L6" i="1"/>
  <c r="K6" i="1"/>
  <c r="M6" i="1" s="1"/>
  <c r="I6" i="1"/>
  <c r="H6" i="1"/>
  <c r="J6" i="1" s="1"/>
  <c r="F6" i="1"/>
  <c r="D6" i="1"/>
  <c r="C6" i="1"/>
  <c r="L5" i="1"/>
  <c r="K5" i="1"/>
  <c r="I5" i="1"/>
  <c r="H5" i="1"/>
  <c r="F5" i="1"/>
  <c r="D5" i="1"/>
  <c r="C5" i="1"/>
  <c r="C8" i="1"/>
  <c r="G5" i="1" l="1"/>
  <c r="E5" i="1"/>
  <c r="M5" i="1"/>
  <c r="E10" i="1"/>
  <c r="G10" i="1"/>
  <c r="J5" i="1"/>
  <c r="G7" i="1"/>
  <c r="E7" i="1"/>
  <c r="G6" i="1"/>
  <c r="E6" i="1"/>
  <c r="C12" i="1"/>
  <c r="L95" i="1" l="1"/>
  <c r="K95" i="1"/>
  <c r="M95" i="1" s="1"/>
  <c r="L94" i="1"/>
  <c r="K94" i="1"/>
  <c r="M94" i="1" s="1"/>
  <c r="L93" i="1"/>
  <c r="K93" i="1"/>
  <c r="M93" i="1" s="1"/>
  <c r="L92" i="1"/>
  <c r="K92" i="1"/>
  <c r="M92" i="1" s="1"/>
  <c r="L91" i="1"/>
  <c r="K91" i="1"/>
  <c r="M91" i="1" s="1"/>
  <c r="L90" i="1"/>
  <c r="K90" i="1"/>
  <c r="M90" i="1" s="1"/>
  <c r="L88" i="1"/>
  <c r="K88" i="1"/>
  <c r="M88" i="1" s="1"/>
  <c r="L87" i="1"/>
  <c r="K87" i="1"/>
  <c r="M87" i="1" s="1"/>
  <c r="L86" i="1"/>
  <c r="K86" i="1"/>
  <c r="M86" i="1" s="1"/>
  <c r="L85" i="1"/>
  <c r="K85" i="1"/>
  <c r="M85" i="1" s="1"/>
  <c r="L84" i="1"/>
  <c r="K84" i="1"/>
  <c r="M84" i="1" s="1"/>
  <c r="L83" i="1"/>
  <c r="K83" i="1"/>
  <c r="M83" i="1" s="1"/>
  <c r="L82" i="1"/>
  <c r="K82" i="1"/>
  <c r="M82" i="1" s="1"/>
  <c r="L80" i="1"/>
  <c r="K80" i="1"/>
  <c r="M80" i="1" s="1"/>
  <c r="L79" i="1"/>
  <c r="K79" i="1"/>
  <c r="M79" i="1" s="1"/>
  <c r="L78" i="1"/>
  <c r="K78" i="1"/>
  <c r="M78" i="1" s="1"/>
  <c r="L77" i="1"/>
  <c r="K77" i="1"/>
  <c r="M77" i="1" s="1"/>
  <c r="L76" i="1"/>
  <c r="K76" i="1"/>
  <c r="M76" i="1" s="1"/>
  <c r="L75" i="1"/>
  <c r="K75" i="1"/>
  <c r="M75" i="1" s="1"/>
  <c r="L74" i="1"/>
  <c r="K74" i="1"/>
  <c r="M74" i="1" s="1"/>
  <c r="L72" i="1"/>
  <c r="K72" i="1"/>
  <c r="M72" i="1" s="1"/>
  <c r="L71" i="1"/>
  <c r="K71" i="1"/>
  <c r="M71" i="1" s="1"/>
  <c r="L70" i="1"/>
  <c r="K70" i="1"/>
  <c r="M70" i="1" s="1"/>
  <c r="L69" i="1"/>
  <c r="K69" i="1"/>
  <c r="M69" i="1" s="1"/>
  <c r="L68" i="1"/>
  <c r="K68" i="1"/>
  <c r="M68" i="1" s="1"/>
  <c r="L64" i="1"/>
  <c r="K64" i="1"/>
  <c r="M64" i="1" s="1"/>
  <c r="L63" i="1"/>
  <c r="K63" i="1"/>
  <c r="M63" i="1" s="1"/>
  <c r="L62" i="1"/>
  <c r="K62" i="1"/>
  <c r="M62" i="1" s="1"/>
  <c r="L61" i="1"/>
  <c r="K61" i="1"/>
  <c r="M61" i="1" s="1"/>
  <c r="L60" i="1"/>
  <c r="K60" i="1"/>
  <c r="M60" i="1" s="1"/>
  <c r="L59" i="1"/>
  <c r="K59" i="1"/>
  <c r="M59" i="1" s="1"/>
  <c r="L57" i="1"/>
  <c r="K57" i="1"/>
  <c r="M57" i="1" s="1"/>
  <c r="L56" i="1"/>
  <c r="K56" i="1"/>
  <c r="M56" i="1" s="1"/>
  <c r="L55" i="1"/>
  <c r="K55" i="1"/>
  <c r="M55" i="1" s="1"/>
  <c r="L54" i="1"/>
  <c r="K54" i="1"/>
  <c r="M54" i="1" s="1"/>
  <c r="L53" i="1"/>
  <c r="K53" i="1"/>
  <c r="M53" i="1" s="1"/>
  <c r="L52" i="1"/>
  <c r="K52" i="1"/>
  <c r="M52" i="1" s="1"/>
  <c r="L51" i="1"/>
  <c r="K51" i="1"/>
  <c r="M51" i="1" s="1"/>
  <c r="L49" i="1"/>
  <c r="K49" i="1"/>
  <c r="M49" i="1" s="1"/>
  <c r="L48" i="1"/>
  <c r="K48" i="1"/>
  <c r="M48" i="1" s="1"/>
  <c r="L47" i="1"/>
  <c r="K47" i="1"/>
  <c r="M47" i="1" s="1"/>
  <c r="L46" i="1"/>
  <c r="K46" i="1"/>
  <c r="M46" i="1" s="1"/>
  <c r="L45" i="1"/>
  <c r="K45" i="1"/>
  <c r="M45" i="1" s="1"/>
  <c r="L44" i="1"/>
  <c r="K44" i="1"/>
  <c r="M44" i="1" s="1"/>
  <c r="L43" i="1"/>
  <c r="K43" i="1"/>
  <c r="M43" i="1" s="1"/>
  <c r="L41" i="1"/>
  <c r="K41" i="1"/>
  <c r="M41" i="1" s="1"/>
  <c r="L40" i="1"/>
  <c r="K40" i="1"/>
  <c r="M40" i="1" s="1"/>
  <c r="L39" i="1"/>
  <c r="K39" i="1"/>
  <c r="M39" i="1" s="1"/>
  <c r="L38" i="1"/>
  <c r="K38" i="1"/>
  <c r="M38" i="1" s="1"/>
  <c r="L37" i="1"/>
  <c r="K37" i="1"/>
  <c r="M37" i="1" s="1"/>
  <c r="L32" i="1"/>
  <c r="K32" i="1"/>
  <c r="M32" i="1" s="1"/>
  <c r="L31" i="1"/>
  <c r="K31" i="1"/>
  <c r="L27" i="1"/>
  <c r="K27" i="1"/>
  <c r="M27" i="1" s="1"/>
  <c r="L26" i="1"/>
  <c r="K26" i="1"/>
  <c r="M26" i="1" s="1"/>
  <c r="L25" i="1"/>
  <c r="K25" i="1"/>
  <c r="M25" i="1" s="1"/>
  <c r="L24" i="1"/>
  <c r="K24" i="1"/>
  <c r="M24" i="1" s="1"/>
  <c r="L22" i="1"/>
  <c r="K22" i="1"/>
  <c r="L21" i="1"/>
  <c r="K21" i="1"/>
  <c r="M21" i="1" s="1"/>
  <c r="L20" i="1"/>
  <c r="K20" i="1"/>
  <c r="M20" i="1" s="1"/>
  <c r="L19" i="1"/>
  <c r="K19" i="1"/>
  <c r="M19" i="1" s="1"/>
  <c r="L18" i="1"/>
  <c r="K18" i="1"/>
  <c r="M18" i="1" s="1"/>
  <c r="L17" i="1"/>
  <c r="K17" i="1"/>
  <c r="M17" i="1" s="1"/>
  <c r="L16" i="1"/>
  <c r="K16" i="1"/>
  <c r="M16" i="1" s="1"/>
  <c r="P15" i="1"/>
  <c r="M15" i="1"/>
  <c r="O9" i="1"/>
  <c r="N9" i="1"/>
  <c r="P9" i="1" s="1"/>
  <c r="L9" i="1"/>
  <c r="K9" i="1"/>
  <c r="M9" i="1" s="1"/>
  <c r="O8" i="1"/>
  <c r="O12" i="1" s="1"/>
  <c r="N8" i="1"/>
  <c r="L8" i="1"/>
  <c r="L12" i="1" s="1"/>
  <c r="K8" i="1"/>
  <c r="O95" i="1"/>
  <c r="N95" i="1"/>
  <c r="P95" i="1" s="1"/>
  <c r="O94" i="1"/>
  <c r="N94" i="1"/>
  <c r="P94" i="1" s="1"/>
  <c r="O93" i="1"/>
  <c r="N93" i="1"/>
  <c r="P93" i="1" s="1"/>
  <c r="O92" i="1"/>
  <c r="N92" i="1"/>
  <c r="P92" i="1" s="1"/>
  <c r="O91" i="1"/>
  <c r="N91" i="1"/>
  <c r="P91" i="1" s="1"/>
  <c r="O90" i="1"/>
  <c r="N90" i="1"/>
  <c r="P90" i="1" s="1"/>
  <c r="O88" i="1"/>
  <c r="N88" i="1"/>
  <c r="P88" i="1" s="1"/>
  <c r="O87" i="1"/>
  <c r="N87" i="1"/>
  <c r="P87" i="1" s="1"/>
  <c r="O86" i="1"/>
  <c r="N86" i="1"/>
  <c r="P86" i="1" s="1"/>
  <c r="O85" i="1"/>
  <c r="N85" i="1"/>
  <c r="P85" i="1" s="1"/>
  <c r="O84" i="1"/>
  <c r="N84" i="1"/>
  <c r="P84" i="1" s="1"/>
  <c r="O83" i="1"/>
  <c r="N83" i="1"/>
  <c r="P83" i="1" s="1"/>
  <c r="O82" i="1"/>
  <c r="N82" i="1"/>
  <c r="P82" i="1" s="1"/>
  <c r="O80" i="1"/>
  <c r="N80" i="1"/>
  <c r="P80" i="1" s="1"/>
  <c r="O79" i="1"/>
  <c r="N79" i="1"/>
  <c r="P79" i="1" s="1"/>
  <c r="O78" i="1"/>
  <c r="N78" i="1"/>
  <c r="P78" i="1" s="1"/>
  <c r="O77" i="1"/>
  <c r="N77" i="1"/>
  <c r="P77" i="1" s="1"/>
  <c r="O76" i="1"/>
  <c r="N76" i="1"/>
  <c r="P76" i="1" s="1"/>
  <c r="O75" i="1"/>
  <c r="N75" i="1"/>
  <c r="P75" i="1" s="1"/>
  <c r="O74" i="1"/>
  <c r="N74" i="1"/>
  <c r="P74" i="1" s="1"/>
  <c r="O72" i="1"/>
  <c r="N72" i="1"/>
  <c r="P72" i="1" s="1"/>
  <c r="O71" i="1"/>
  <c r="N71" i="1"/>
  <c r="P71" i="1" s="1"/>
  <c r="O70" i="1"/>
  <c r="N70" i="1"/>
  <c r="P70" i="1" s="1"/>
  <c r="O69" i="1"/>
  <c r="N69" i="1"/>
  <c r="P69" i="1" s="1"/>
  <c r="O68" i="1"/>
  <c r="N68" i="1"/>
  <c r="P68" i="1" s="1"/>
  <c r="O64" i="1"/>
  <c r="N64" i="1"/>
  <c r="P64" i="1" s="1"/>
  <c r="O63" i="1"/>
  <c r="N63" i="1"/>
  <c r="P63" i="1" s="1"/>
  <c r="O62" i="1"/>
  <c r="N62" i="1"/>
  <c r="P62" i="1" s="1"/>
  <c r="O61" i="1"/>
  <c r="N61" i="1"/>
  <c r="P61" i="1" s="1"/>
  <c r="O60" i="1"/>
  <c r="N60" i="1"/>
  <c r="P60" i="1" s="1"/>
  <c r="O59" i="1"/>
  <c r="N59" i="1"/>
  <c r="P59" i="1" s="1"/>
  <c r="O57" i="1"/>
  <c r="N57" i="1"/>
  <c r="P57" i="1" s="1"/>
  <c r="O56" i="1"/>
  <c r="N56" i="1"/>
  <c r="P56" i="1" s="1"/>
  <c r="O55" i="1"/>
  <c r="N55" i="1"/>
  <c r="P55" i="1" s="1"/>
  <c r="O54" i="1"/>
  <c r="N54" i="1"/>
  <c r="P54" i="1" s="1"/>
  <c r="O53" i="1"/>
  <c r="N53" i="1"/>
  <c r="P53" i="1" s="1"/>
  <c r="O52" i="1"/>
  <c r="N52" i="1"/>
  <c r="P52" i="1" s="1"/>
  <c r="O51" i="1"/>
  <c r="N51" i="1"/>
  <c r="P51" i="1" s="1"/>
  <c r="O49" i="1"/>
  <c r="N49" i="1"/>
  <c r="P49" i="1" s="1"/>
  <c r="O48" i="1"/>
  <c r="N48" i="1"/>
  <c r="P48" i="1" s="1"/>
  <c r="O47" i="1"/>
  <c r="N47" i="1"/>
  <c r="P47" i="1" s="1"/>
  <c r="O46" i="1"/>
  <c r="N46" i="1"/>
  <c r="P46" i="1" s="1"/>
  <c r="O45" i="1"/>
  <c r="N45" i="1"/>
  <c r="P45" i="1" s="1"/>
  <c r="O44" i="1"/>
  <c r="N44" i="1"/>
  <c r="P44" i="1" s="1"/>
  <c r="O43" i="1"/>
  <c r="N43" i="1"/>
  <c r="P43" i="1" s="1"/>
  <c r="O41" i="1"/>
  <c r="N41" i="1"/>
  <c r="P41" i="1" s="1"/>
  <c r="O40" i="1"/>
  <c r="N40" i="1"/>
  <c r="P40" i="1" s="1"/>
  <c r="O39" i="1"/>
  <c r="N39" i="1"/>
  <c r="P39" i="1" s="1"/>
  <c r="O38" i="1"/>
  <c r="N38" i="1"/>
  <c r="P38" i="1" s="1"/>
  <c r="O37" i="1"/>
  <c r="N37" i="1"/>
  <c r="P37" i="1" s="1"/>
  <c r="O32" i="1"/>
  <c r="N32" i="1"/>
  <c r="P32" i="1" s="1"/>
  <c r="O31" i="1"/>
  <c r="N31" i="1"/>
  <c r="O27" i="1"/>
  <c r="N27" i="1"/>
  <c r="P27" i="1" s="1"/>
  <c r="O26" i="1"/>
  <c r="N26" i="1"/>
  <c r="P26" i="1" s="1"/>
  <c r="O25" i="1"/>
  <c r="N25" i="1"/>
  <c r="P25" i="1" s="1"/>
  <c r="O24" i="1"/>
  <c r="N24" i="1"/>
  <c r="P24" i="1" s="1"/>
  <c r="O22" i="1"/>
  <c r="N22" i="1"/>
  <c r="O21" i="1"/>
  <c r="N21" i="1"/>
  <c r="P21" i="1" s="1"/>
  <c r="O20" i="1"/>
  <c r="N20" i="1"/>
  <c r="P20" i="1" s="1"/>
  <c r="O19" i="1"/>
  <c r="N19" i="1"/>
  <c r="P19" i="1" s="1"/>
  <c r="O18" i="1"/>
  <c r="N18" i="1"/>
  <c r="P18" i="1" s="1"/>
  <c r="O17" i="1"/>
  <c r="N17" i="1"/>
  <c r="P17" i="1" s="1"/>
  <c r="O16" i="1"/>
  <c r="N16" i="1"/>
  <c r="P16" i="1" s="1"/>
  <c r="I95" i="1"/>
  <c r="H95" i="1"/>
  <c r="J95" i="1" s="1"/>
  <c r="I94" i="1"/>
  <c r="H94" i="1"/>
  <c r="J94" i="1" s="1"/>
  <c r="I93" i="1"/>
  <c r="H93" i="1"/>
  <c r="J93" i="1" s="1"/>
  <c r="I92" i="1"/>
  <c r="H92" i="1"/>
  <c r="J92" i="1" s="1"/>
  <c r="I91" i="1"/>
  <c r="H91" i="1"/>
  <c r="J91" i="1" s="1"/>
  <c r="I90" i="1"/>
  <c r="H90" i="1"/>
  <c r="J90" i="1" s="1"/>
  <c r="I88" i="1"/>
  <c r="H88" i="1"/>
  <c r="J88" i="1" s="1"/>
  <c r="I87" i="1"/>
  <c r="H87" i="1"/>
  <c r="J87" i="1" s="1"/>
  <c r="I86" i="1"/>
  <c r="H86" i="1"/>
  <c r="J86" i="1" s="1"/>
  <c r="I85" i="1"/>
  <c r="H85" i="1"/>
  <c r="J85" i="1" s="1"/>
  <c r="I84" i="1"/>
  <c r="H84" i="1"/>
  <c r="J84" i="1" s="1"/>
  <c r="I83" i="1"/>
  <c r="H83" i="1"/>
  <c r="J83" i="1" s="1"/>
  <c r="I82" i="1"/>
  <c r="H82" i="1"/>
  <c r="J82" i="1" s="1"/>
  <c r="I80" i="1"/>
  <c r="H80" i="1"/>
  <c r="J80" i="1" s="1"/>
  <c r="I79" i="1"/>
  <c r="H79" i="1"/>
  <c r="J79" i="1" s="1"/>
  <c r="I78" i="1"/>
  <c r="H78" i="1"/>
  <c r="J78" i="1" s="1"/>
  <c r="I77" i="1"/>
  <c r="H77" i="1"/>
  <c r="J77" i="1" s="1"/>
  <c r="I76" i="1"/>
  <c r="H76" i="1"/>
  <c r="J76" i="1" s="1"/>
  <c r="I75" i="1"/>
  <c r="H75" i="1"/>
  <c r="J75" i="1" s="1"/>
  <c r="I74" i="1"/>
  <c r="H74" i="1"/>
  <c r="J74" i="1" s="1"/>
  <c r="I72" i="1"/>
  <c r="H72" i="1"/>
  <c r="J72" i="1" s="1"/>
  <c r="I71" i="1"/>
  <c r="H71" i="1"/>
  <c r="J71" i="1" s="1"/>
  <c r="I70" i="1"/>
  <c r="H70" i="1"/>
  <c r="J70" i="1" s="1"/>
  <c r="I69" i="1"/>
  <c r="H69" i="1"/>
  <c r="J69" i="1" s="1"/>
  <c r="I68" i="1"/>
  <c r="H68" i="1"/>
  <c r="J68" i="1" s="1"/>
  <c r="I64" i="1"/>
  <c r="H64" i="1"/>
  <c r="J64" i="1" s="1"/>
  <c r="I63" i="1"/>
  <c r="H63" i="1"/>
  <c r="J63" i="1" s="1"/>
  <c r="I62" i="1"/>
  <c r="H62" i="1"/>
  <c r="J62" i="1" s="1"/>
  <c r="I61" i="1"/>
  <c r="H61" i="1"/>
  <c r="J61" i="1" s="1"/>
  <c r="I60" i="1"/>
  <c r="H60" i="1"/>
  <c r="J60" i="1" s="1"/>
  <c r="I59" i="1"/>
  <c r="H59" i="1"/>
  <c r="J59" i="1" s="1"/>
  <c r="I57" i="1"/>
  <c r="H57" i="1"/>
  <c r="J57" i="1" s="1"/>
  <c r="I56" i="1"/>
  <c r="H56" i="1"/>
  <c r="J56" i="1" s="1"/>
  <c r="I55" i="1"/>
  <c r="H55" i="1"/>
  <c r="J55" i="1" s="1"/>
  <c r="I54" i="1"/>
  <c r="H54" i="1"/>
  <c r="J54" i="1" s="1"/>
  <c r="I53" i="1"/>
  <c r="H53" i="1"/>
  <c r="J53" i="1" s="1"/>
  <c r="I52" i="1"/>
  <c r="H52" i="1"/>
  <c r="J52" i="1" s="1"/>
  <c r="I51" i="1"/>
  <c r="H51" i="1"/>
  <c r="J51" i="1" s="1"/>
  <c r="I49" i="1"/>
  <c r="H49" i="1"/>
  <c r="J49" i="1" s="1"/>
  <c r="I48" i="1"/>
  <c r="H48" i="1"/>
  <c r="J48" i="1" s="1"/>
  <c r="I47" i="1"/>
  <c r="H47" i="1"/>
  <c r="J47" i="1" s="1"/>
  <c r="I46" i="1"/>
  <c r="H46" i="1"/>
  <c r="J46" i="1" s="1"/>
  <c r="I45" i="1"/>
  <c r="H45" i="1"/>
  <c r="J45" i="1" s="1"/>
  <c r="I44" i="1"/>
  <c r="H44" i="1"/>
  <c r="J44" i="1" s="1"/>
  <c r="I43" i="1"/>
  <c r="H43" i="1"/>
  <c r="J43" i="1" s="1"/>
  <c r="I41" i="1"/>
  <c r="H41" i="1"/>
  <c r="J41" i="1" s="1"/>
  <c r="I40" i="1"/>
  <c r="H40" i="1"/>
  <c r="J40" i="1" s="1"/>
  <c r="I39" i="1"/>
  <c r="H39" i="1"/>
  <c r="J39" i="1" s="1"/>
  <c r="I38" i="1"/>
  <c r="H38" i="1"/>
  <c r="J38" i="1" s="1"/>
  <c r="I37" i="1"/>
  <c r="H37" i="1"/>
  <c r="J37" i="1" s="1"/>
  <c r="I32" i="1"/>
  <c r="H32" i="1"/>
  <c r="J32" i="1" s="1"/>
  <c r="I31" i="1"/>
  <c r="H31" i="1"/>
  <c r="I27" i="1"/>
  <c r="H27" i="1"/>
  <c r="J27" i="1" s="1"/>
  <c r="I26" i="1"/>
  <c r="H26" i="1"/>
  <c r="J26" i="1" s="1"/>
  <c r="I25" i="1"/>
  <c r="H25" i="1"/>
  <c r="J25" i="1" s="1"/>
  <c r="I24" i="1"/>
  <c r="H24" i="1"/>
  <c r="J24" i="1" s="1"/>
  <c r="I22" i="1"/>
  <c r="H22" i="1"/>
  <c r="I21" i="1"/>
  <c r="H21" i="1"/>
  <c r="J21" i="1" s="1"/>
  <c r="I20" i="1"/>
  <c r="H20" i="1"/>
  <c r="J20" i="1" s="1"/>
  <c r="I19" i="1"/>
  <c r="H19" i="1"/>
  <c r="J19" i="1" s="1"/>
  <c r="I18" i="1"/>
  <c r="H18" i="1"/>
  <c r="J18" i="1" s="1"/>
  <c r="I17" i="1"/>
  <c r="H17" i="1"/>
  <c r="J17" i="1" s="1"/>
  <c r="I16" i="1"/>
  <c r="H16" i="1"/>
  <c r="J16" i="1" s="1"/>
  <c r="J15" i="1"/>
  <c r="I9" i="1"/>
  <c r="H9" i="1"/>
  <c r="J9" i="1" s="1"/>
  <c r="I8" i="1"/>
  <c r="I12" i="1" s="1"/>
  <c r="H8" i="1"/>
  <c r="F95" i="1"/>
  <c r="D95" i="1"/>
  <c r="C95" i="1"/>
  <c r="F94" i="1"/>
  <c r="D94" i="1"/>
  <c r="C94" i="1"/>
  <c r="F93" i="1"/>
  <c r="D93" i="1"/>
  <c r="C93" i="1"/>
  <c r="F92" i="1"/>
  <c r="D92" i="1"/>
  <c r="C92" i="1"/>
  <c r="F91" i="1"/>
  <c r="D91" i="1"/>
  <c r="C91" i="1"/>
  <c r="F90" i="1"/>
  <c r="D90" i="1"/>
  <c r="C90" i="1"/>
  <c r="F88" i="1"/>
  <c r="D88" i="1"/>
  <c r="C88" i="1"/>
  <c r="F87" i="1"/>
  <c r="D87" i="1"/>
  <c r="C87" i="1"/>
  <c r="F86" i="1"/>
  <c r="D86" i="1"/>
  <c r="C86" i="1"/>
  <c r="F85" i="1"/>
  <c r="D85" i="1"/>
  <c r="C85" i="1"/>
  <c r="F84" i="1"/>
  <c r="D84" i="1"/>
  <c r="C84" i="1"/>
  <c r="F83" i="1"/>
  <c r="D83" i="1"/>
  <c r="C83" i="1"/>
  <c r="F82" i="1"/>
  <c r="D82" i="1"/>
  <c r="C82" i="1"/>
  <c r="F80" i="1"/>
  <c r="D80" i="1"/>
  <c r="C80" i="1"/>
  <c r="F79" i="1"/>
  <c r="D79" i="1"/>
  <c r="C79" i="1"/>
  <c r="F78" i="1"/>
  <c r="D78" i="1"/>
  <c r="C78" i="1"/>
  <c r="F77" i="1"/>
  <c r="D77" i="1"/>
  <c r="C77" i="1"/>
  <c r="F76" i="1"/>
  <c r="D76" i="1"/>
  <c r="C76" i="1"/>
  <c r="F75" i="1"/>
  <c r="D75" i="1"/>
  <c r="C75" i="1"/>
  <c r="F74" i="1"/>
  <c r="D74" i="1"/>
  <c r="C74" i="1"/>
  <c r="F72" i="1"/>
  <c r="D72" i="1"/>
  <c r="C72" i="1"/>
  <c r="F71" i="1"/>
  <c r="D71" i="1"/>
  <c r="C71" i="1"/>
  <c r="F70" i="1"/>
  <c r="D70" i="1"/>
  <c r="C70" i="1"/>
  <c r="F69" i="1"/>
  <c r="D69" i="1"/>
  <c r="C69" i="1"/>
  <c r="F68" i="1"/>
  <c r="D68" i="1"/>
  <c r="C68" i="1"/>
  <c r="F64" i="1"/>
  <c r="D64" i="1"/>
  <c r="C64" i="1"/>
  <c r="F63" i="1"/>
  <c r="D63" i="1"/>
  <c r="C63" i="1"/>
  <c r="F62" i="1"/>
  <c r="D62" i="1"/>
  <c r="C62" i="1"/>
  <c r="F61" i="1"/>
  <c r="D61" i="1"/>
  <c r="C61" i="1"/>
  <c r="F60" i="1"/>
  <c r="D60" i="1"/>
  <c r="C60" i="1"/>
  <c r="F59" i="1"/>
  <c r="D59" i="1"/>
  <c r="C59" i="1"/>
  <c r="F57" i="1"/>
  <c r="D57" i="1"/>
  <c r="C57" i="1"/>
  <c r="F56" i="1"/>
  <c r="D56" i="1"/>
  <c r="C56" i="1"/>
  <c r="F55" i="1"/>
  <c r="D55" i="1"/>
  <c r="C55" i="1"/>
  <c r="F54" i="1"/>
  <c r="D54" i="1"/>
  <c r="C54" i="1"/>
  <c r="F53" i="1"/>
  <c r="D53" i="1"/>
  <c r="C53" i="1"/>
  <c r="F52" i="1"/>
  <c r="D52" i="1"/>
  <c r="C52" i="1"/>
  <c r="F51" i="1"/>
  <c r="D51" i="1"/>
  <c r="C51" i="1"/>
  <c r="F49" i="1"/>
  <c r="D49" i="1"/>
  <c r="C49" i="1"/>
  <c r="F48" i="1"/>
  <c r="D48" i="1"/>
  <c r="C48" i="1"/>
  <c r="F47" i="1"/>
  <c r="D47" i="1"/>
  <c r="C47" i="1"/>
  <c r="F46" i="1"/>
  <c r="D46" i="1"/>
  <c r="C46" i="1"/>
  <c r="F45" i="1"/>
  <c r="D45" i="1"/>
  <c r="C45" i="1"/>
  <c r="F44" i="1"/>
  <c r="D44" i="1"/>
  <c r="C44" i="1"/>
  <c r="F43" i="1"/>
  <c r="D43" i="1"/>
  <c r="C43" i="1"/>
  <c r="F41" i="1"/>
  <c r="D41" i="1"/>
  <c r="C41" i="1"/>
  <c r="F40" i="1"/>
  <c r="D40" i="1"/>
  <c r="C40" i="1"/>
  <c r="F39" i="1"/>
  <c r="D39" i="1"/>
  <c r="C39" i="1"/>
  <c r="F38" i="1"/>
  <c r="D38" i="1"/>
  <c r="C38" i="1"/>
  <c r="F37" i="1"/>
  <c r="D37" i="1"/>
  <c r="C37" i="1"/>
  <c r="F32" i="1"/>
  <c r="D32" i="1"/>
  <c r="C32" i="1"/>
  <c r="F31" i="1"/>
  <c r="F33" i="1" s="1"/>
  <c r="D31" i="1"/>
  <c r="C31" i="1"/>
  <c r="F27" i="1"/>
  <c r="D27" i="1"/>
  <c r="C27" i="1"/>
  <c r="F26" i="1"/>
  <c r="D26" i="1"/>
  <c r="C26" i="1"/>
  <c r="F25" i="1"/>
  <c r="D25" i="1"/>
  <c r="C25" i="1"/>
  <c r="F24" i="1"/>
  <c r="D24" i="1"/>
  <c r="C24" i="1"/>
  <c r="F22" i="1"/>
  <c r="D22" i="1"/>
  <c r="C22" i="1"/>
  <c r="F21" i="1"/>
  <c r="D21" i="1"/>
  <c r="C21" i="1"/>
  <c r="F20" i="1"/>
  <c r="D20" i="1"/>
  <c r="C20" i="1"/>
  <c r="F19" i="1"/>
  <c r="D19" i="1"/>
  <c r="C19" i="1"/>
  <c r="F18" i="1"/>
  <c r="D18" i="1"/>
  <c r="C18" i="1"/>
  <c r="F17" i="1"/>
  <c r="D17" i="1"/>
  <c r="C17" i="1"/>
  <c r="F16" i="1"/>
  <c r="D16" i="1"/>
  <c r="C16" i="1"/>
  <c r="F9" i="1"/>
  <c r="D9" i="1"/>
  <c r="C9" i="1"/>
  <c r="F8" i="1"/>
  <c r="D8" i="1"/>
  <c r="D23" i="1" l="1"/>
  <c r="O23" i="1"/>
  <c r="G17" i="1"/>
  <c r="E17" i="1"/>
  <c r="G80" i="1"/>
  <c r="E80" i="1"/>
  <c r="G90" i="1"/>
  <c r="E90" i="1"/>
  <c r="G20" i="1"/>
  <c r="E20" i="1"/>
  <c r="G24" i="1"/>
  <c r="E24" i="1"/>
  <c r="G69" i="1"/>
  <c r="E69" i="1"/>
  <c r="G78" i="1"/>
  <c r="E78" i="1"/>
  <c r="N23" i="1"/>
  <c r="P23" i="1" s="1"/>
  <c r="P22" i="1"/>
  <c r="E18" i="1"/>
  <c r="G18" i="1"/>
  <c r="E43" i="1"/>
  <c r="G43" i="1"/>
  <c r="E52" i="1"/>
  <c r="G52" i="1"/>
  <c r="E61" i="1"/>
  <c r="G61" i="1"/>
  <c r="E72" i="1"/>
  <c r="G72" i="1"/>
  <c r="E82" i="1"/>
  <c r="G82" i="1"/>
  <c r="G37" i="1"/>
  <c r="E37" i="1"/>
  <c r="J22" i="1"/>
  <c r="H23" i="1"/>
  <c r="D12" i="1"/>
  <c r="E12" i="1" s="1"/>
  <c r="E8" i="1"/>
  <c r="G16" i="1"/>
  <c r="E16" i="1"/>
  <c r="E25" i="1"/>
  <c r="G25" i="1"/>
  <c r="G40" i="1"/>
  <c r="E40" i="1"/>
  <c r="G49" i="1"/>
  <c r="E49" i="1"/>
  <c r="G59" i="1"/>
  <c r="E59" i="1"/>
  <c r="G70" i="1"/>
  <c r="E70" i="1"/>
  <c r="G79" i="1"/>
  <c r="E79" i="1"/>
  <c r="G88" i="1"/>
  <c r="E88" i="1"/>
  <c r="I23" i="1"/>
  <c r="O33" i="1"/>
  <c r="L23" i="1"/>
  <c r="E26" i="1"/>
  <c r="G26" i="1"/>
  <c r="F23" i="1"/>
  <c r="G45" i="1"/>
  <c r="E45" i="1"/>
  <c r="G54" i="1"/>
  <c r="E54" i="1"/>
  <c r="G63" i="1"/>
  <c r="E63" i="1"/>
  <c r="G93" i="1"/>
  <c r="E93" i="1"/>
  <c r="G15" i="1"/>
  <c r="E15" i="1"/>
  <c r="G39" i="1"/>
  <c r="E39" i="1"/>
  <c r="E48" i="1"/>
  <c r="G48" i="1"/>
  <c r="G57" i="1"/>
  <c r="E57" i="1"/>
  <c r="G27" i="1"/>
  <c r="E27" i="1"/>
  <c r="G46" i="1"/>
  <c r="E46" i="1"/>
  <c r="G55" i="1"/>
  <c r="E55" i="1"/>
  <c r="G64" i="1"/>
  <c r="E64" i="1"/>
  <c r="G76" i="1"/>
  <c r="E76" i="1"/>
  <c r="G85" i="1"/>
  <c r="E85" i="1"/>
  <c r="G94" i="1"/>
  <c r="E94" i="1"/>
  <c r="P31" i="1"/>
  <c r="N33" i="1"/>
  <c r="G31" i="1"/>
  <c r="E31" i="1"/>
  <c r="C33" i="1"/>
  <c r="E44" i="1"/>
  <c r="G44" i="1"/>
  <c r="E53" i="1"/>
  <c r="G53" i="1"/>
  <c r="E62" i="1"/>
  <c r="G62" i="1"/>
  <c r="E74" i="1"/>
  <c r="G74" i="1"/>
  <c r="E83" i="1"/>
  <c r="G83" i="1"/>
  <c r="E92" i="1"/>
  <c r="G92" i="1"/>
  <c r="J31" i="1"/>
  <c r="H33" i="1"/>
  <c r="N12" i="1"/>
  <c r="P12" i="1" s="1"/>
  <c r="P8" i="1"/>
  <c r="M31" i="1"/>
  <c r="K33" i="1"/>
  <c r="G41" i="1"/>
  <c r="E41" i="1"/>
  <c r="G51" i="1"/>
  <c r="E51" i="1"/>
  <c r="G60" i="1"/>
  <c r="E60" i="1"/>
  <c r="G71" i="1"/>
  <c r="E71" i="1"/>
  <c r="G32" i="1"/>
  <c r="E32" i="1"/>
  <c r="G75" i="1"/>
  <c r="E75" i="1"/>
  <c r="E84" i="1"/>
  <c r="G84" i="1"/>
  <c r="E87" i="1"/>
  <c r="G87" i="1"/>
  <c r="H12" i="1"/>
  <c r="J12" i="1" s="1"/>
  <c r="J8" i="1"/>
  <c r="E91" i="1"/>
  <c r="G91" i="1"/>
  <c r="G21" i="1"/>
  <c r="E21" i="1"/>
  <c r="K12" i="1"/>
  <c r="M12" i="1" s="1"/>
  <c r="M8" i="1"/>
  <c r="M22" i="1"/>
  <c r="K23" i="1"/>
  <c r="F12" i="1"/>
  <c r="G12" i="1" s="1"/>
  <c r="G8" i="1"/>
  <c r="E19" i="1"/>
  <c r="G19" i="1"/>
  <c r="E9" i="1"/>
  <c r="G9" i="1"/>
  <c r="G22" i="1"/>
  <c r="E22" i="1"/>
  <c r="C23" i="1"/>
  <c r="G23" i="1" s="1"/>
  <c r="D33" i="1"/>
  <c r="G38" i="1"/>
  <c r="E38" i="1"/>
  <c r="G47" i="1"/>
  <c r="E47" i="1"/>
  <c r="G56" i="1"/>
  <c r="E56" i="1"/>
  <c r="G68" i="1"/>
  <c r="E68" i="1"/>
  <c r="G77" i="1"/>
  <c r="E77" i="1"/>
  <c r="G86" i="1"/>
  <c r="E86" i="1"/>
  <c r="G95" i="1"/>
  <c r="E95" i="1"/>
  <c r="I33" i="1"/>
  <c r="L33" i="1"/>
  <c r="O28" i="1"/>
  <c r="N28" i="1"/>
  <c r="P28" i="1" s="1"/>
  <c r="L28" i="1"/>
  <c r="K28" i="1"/>
  <c r="M28" i="1" s="1"/>
  <c r="I28" i="1"/>
  <c r="F28" i="1"/>
  <c r="D28" i="1"/>
  <c r="C28" i="1"/>
  <c r="M33" i="1" l="1"/>
  <c r="J23" i="1"/>
  <c r="M23" i="1"/>
  <c r="P33" i="1"/>
  <c r="G33" i="1"/>
  <c r="E33" i="1"/>
  <c r="E23" i="1"/>
  <c r="J33" i="1"/>
  <c r="G28" i="1"/>
  <c r="E28" i="1"/>
  <c r="H28" i="1"/>
  <c r="J2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Euan Mackenzie</author>
  </authors>
  <commentList>
    <comment ref="A4" authorId="0" shapeId="0" xr:uid="{F57828EA-BD45-4282-8450-86336D6B61C6}">
      <text>
        <r>
          <rPr>
            <sz val="10"/>
            <color rgb="FF000000"/>
            <rFont val="Tahoma"/>
            <family val="2"/>
          </rPr>
          <t>Overall number of users</t>
        </r>
      </text>
    </comment>
    <comment ref="A5" authorId="0" shapeId="0" xr:uid="{2F147D3A-E764-4262-A7C9-4A43D36395CD}">
      <text>
        <r>
          <rPr>
            <sz val="10"/>
            <color rgb="FF000000"/>
            <rFont val="Tahoma"/>
            <family val="2"/>
          </rPr>
          <t>Number of users where Channel Grouping is Paid Search or Display, or Source is Criteo, or Medium is Paid or Paid Social</t>
        </r>
        <r>
          <rPr>
            <b/>
            <sz val="10"/>
            <color rgb="FF000000"/>
            <rFont val="Tahoma"/>
            <family val="2"/>
          </rPr>
          <t xml:space="preserve">
</t>
        </r>
        <r>
          <rPr>
            <sz val="10"/>
            <color rgb="FF000000"/>
            <rFont val="Tahoma"/>
            <family val="2"/>
          </rPr>
          <t xml:space="preserve">
</t>
        </r>
      </text>
    </comment>
    <comment ref="A6" authorId="0" shapeId="0" xr:uid="{54B4A124-4B7C-4B79-B6B7-4051D976E4BC}">
      <text>
        <r>
          <rPr>
            <sz val="10"/>
            <color rgb="FF000000"/>
            <rFont val="Tahoma"/>
            <family val="2"/>
          </rPr>
          <t xml:space="preserve">Number of users where Channel Grouping is Organic
</t>
        </r>
      </text>
    </comment>
    <comment ref="A7" authorId="0" shapeId="0" xr:uid="{C0778A0F-B958-4BC2-8381-1583EF892BB7}">
      <text>
        <r>
          <rPr>
            <sz val="10"/>
            <color rgb="FF000000"/>
            <rFont val="Tahoma"/>
            <family val="2"/>
          </rPr>
          <t xml:space="preserve">Number of users where Channel Grouping is Email
</t>
        </r>
      </text>
    </comment>
    <comment ref="A8" authorId="0" shapeId="0" xr:uid="{49CC4E8D-6919-4C46-A47F-B5357843401E}">
      <text>
        <r>
          <rPr>
            <sz val="10.5"/>
            <color rgb="FF000000"/>
            <rFont val="Calibri"/>
            <family val="2"/>
            <scheme val="minor"/>
          </rPr>
          <t>Total GA Goals:</t>
        </r>
        <r>
          <rPr>
            <sz val="5"/>
            <color rgb="FF000000"/>
            <rFont val="Calibri"/>
            <family val="2"/>
            <scheme val="minor"/>
          </rPr>
          <t xml:space="preserve">
</t>
        </r>
        <r>
          <rPr>
            <sz val="10.5"/>
            <color rgb="FF000000"/>
            <rFont val="Calibri"/>
            <family val="2"/>
            <scheme val="minor"/>
          </rPr>
          <t>General Callback (Goal 2)</t>
        </r>
        <r>
          <rPr>
            <sz val="5"/>
            <color rgb="FF000000"/>
            <rFont val="Calibri"/>
            <family val="2"/>
            <scheme val="minor"/>
          </rPr>
          <t xml:space="preserve">
</t>
        </r>
        <r>
          <rPr>
            <sz val="10.5"/>
            <color rgb="FF000000"/>
            <rFont val="Calibri"/>
            <family val="2"/>
            <scheme val="minor"/>
          </rPr>
          <t>Phonecall (Goal 3)</t>
        </r>
        <r>
          <rPr>
            <sz val="5"/>
            <color rgb="FF000000"/>
            <rFont val="Calibri"/>
            <family val="2"/>
            <scheme val="minor"/>
          </rPr>
          <t xml:space="preserve">
</t>
        </r>
        <r>
          <rPr>
            <sz val="10.5"/>
            <color rgb="FF000000"/>
            <rFont val="Calibri"/>
            <family val="2"/>
            <scheme val="minor"/>
          </rPr>
          <t>Property Enquiry (Goal 4)</t>
        </r>
        <r>
          <rPr>
            <sz val="5"/>
            <color rgb="FF000000"/>
            <rFont val="Calibri"/>
            <family val="2"/>
            <scheme val="minor"/>
          </rPr>
          <t xml:space="preserve">
</t>
        </r>
        <r>
          <rPr>
            <sz val="10.5"/>
            <color rgb="FF000000"/>
            <rFont val="Calibri"/>
            <family val="2"/>
            <scheme val="minor"/>
          </rPr>
          <t>Property Callback (Goal 6)</t>
        </r>
        <r>
          <rPr>
            <sz val="5"/>
            <color rgb="FF000000"/>
            <rFont val="Calibri"/>
            <family val="2"/>
            <scheme val="minor"/>
          </rPr>
          <t xml:space="preserve">
</t>
        </r>
        <r>
          <rPr>
            <sz val="10.5"/>
            <color rgb="FF000000"/>
            <rFont val="Calibri"/>
            <family val="2"/>
            <scheme val="minor"/>
          </rPr>
          <t>Response IQ Immediate Callback (Goal 8)</t>
        </r>
        <r>
          <rPr>
            <sz val="5"/>
            <color rgb="FF000000"/>
            <rFont val="Calibri"/>
            <family val="2"/>
            <scheme val="minor"/>
          </rPr>
          <t xml:space="preserve">
</t>
        </r>
        <r>
          <rPr>
            <sz val="10.5"/>
            <color rgb="FF000000"/>
            <rFont val="Calibri"/>
            <family val="2"/>
            <scheme val="minor"/>
          </rPr>
          <t>Response IQ Call Scheduled (Goal 9)</t>
        </r>
        <r>
          <rPr>
            <sz val="5"/>
            <color rgb="FF000000"/>
            <rFont val="Calibri"/>
            <family val="2"/>
            <scheme val="minor"/>
          </rPr>
          <t xml:space="preserve">
</t>
        </r>
        <r>
          <rPr>
            <sz val="10.5"/>
            <color rgb="FF000000"/>
            <rFont val="Calibri"/>
            <family val="2"/>
            <scheme val="minor"/>
          </rPr>
          <t>General Enquiry (Goal 11)</t>
        </r>
        <r>
          <rPr>
            <sz val="5"/>
            <color rgb="FF000000"/>
            <rFont val="Calibri"/>
            <family val="2"/>
            <scheme val="minor"/>
          </rPr>
          <t xml:space="preserve">
</t>
        </r>
      </text>
    </comment>
    <comment ref="A9" authorId="0" shapeId="0" xr:uid="{977745E8-6D4F-44CF-BE1F-4564DD78BDE5}">
      <text>
        <r>
          <rPr>
            <sz val="11"/>
            <color rgb="FF000000"/>
            <rFont val="Calibri"/>
            <family val="2"/>
            <scheme val="minor"/>
          </rPr>
          <t xml:space="preserve">GA Goals attributed to PPC using linear model:
General Callback (Goal 2)
Phonecall (Goal 3)
Property Enquiry (Goal 4)
Property Callback (Goal 6)
Response IQ Immediate Callback (Goal 8)
Response IQ Call Scheduled (Goal 9)
General Enquiry (Goal 11)
</t>
        </r>
      </text>
    </comment>
    <comment ref="A10" authorId="0" shapeId="0" xr:uid="{1AE1D48E-50A5-4E08-8865-780A4E638B22}">
      <text>
        <r>
          <rPr>
            <sz val="10"/>
            <color rgb="FF000000"/>
            <rFont val="Tahoma"/>
            <family val="2"/>
          </rPr>
          <t xml:space="preserve">Google Ads spend.
Includes Facebook, Criteo or Bing advertising
</t>
        </r>
      </text>
    </comment>
    <comment ref="A11" authorId="0" shapeId="0" xr:uid="{C1FAFAA0-0975-409A-A2F6-AE2655DE43CD}">
      <text>
        <r>
          <rPr>
            <sz val="10"/>
            <color rgb="FF000000"/>
            <rFont val="Tahoma"/>
            <family val="2"/>
          </rPr>
          <t>GA Phonecall goal conversions attributed to PPC using linear model</t>
        </r>
      </text>
    </comment>
    <comment ref="A12" authorId="0" shapeId="0" xr:uid="{37A6272C-5012-403F-98B3-9A322787E310}">
      <text>
        <r>
          <rPr>
            <sz val="10"/>
            <color rgb="FF000000"/>
            <rFont val="Tahoma"/>
            <family val="2"/>
          </rPr>
          <t xml:space="preserve">PPC spend divided by total number of online conversions
</t>
        </r>
      </text>
    </comment>
    <comment ref="A15" authorId="0" shapeId="0" xr:uid="{C65D394A-D182-4CFB-8C11-8E720B4687A2}">
      <text>
        <r>
          <rPr>
            <sz val="10"/>
            <color rgb="FF000000"/>
            <rFont val="Tahoma"/>
            <family val="2"/>
          </rPr>
          <t>Quotes made by Call Centre - based on quoted date</t>
        </r>
      </text>
    </comment>
    <comment ref="A16" authorId="0" shapeId="0" xr:uid="{4038354D-626F-46BC-95F4-BD90B4CB8FD1}">
      <text>
        <r>
          <rPr>
            <sz val="11"/>
            <color rgb="FF000000"/>
            <rFont val="Calibri"/>
            <family val="2"/>
            <scheme val="minor"/>
          </rPr>
          <t>Reservations currently on option, based on optioned date</t>
        </r>
      </text>
    </comment>
    <comment ref="A17" authorId="0" shapeId="0" xr:uid="{DCA93B1B-B973-4155-AD43-055A0C2A270D}">
      <text>
        <r>
          <rPr>
            <sz val="11"/>
            <color rgb="FF000000"/>
            <rFont val="Calibri"/>
            <family val="2"/>
            <scheme val="minor"/>
          </rPr>
          <t xml:space="preserve">Potential revenue of reservations currently on option, based on optioned date
</t>
        </r>
      </text>
    </comment>
    <comment ref="A18" authorId="0" shapeId="0" xr:uid="{5D2236A5-F6E3-4B12-A206-1AD5D888FE5D}">
      <text>
        <r>
          <rPr>
            <sz val="10"/>
            <color rgb="FF000000"/>
            <rFont val="Tahoma"/>
            <family val="2"/>
          </rPr>
          <t xml:space="preserve">Total confirmed bookings
</t>
        </r>
      </text>
    </comment>
    <comment ref="A19" authorId="0" shapeId="0" xr:uid="{A8FF9B74-10FB-4DD6-89CF-76C84E116C2D}">
      <text>
        <r>
          <rPr>
            <sz val="10"/>
            <color rgb="FF000000"/>
            <rFont val="Tahoma"/>
            <family val="2"/>
          </rPr>
          <t xml:space="preserve">Total confirmed bookings with at least one accommodation component attached
</t>
        </r>
      </text>
    </comment>
    <comment ref="A20" authorId="0" shapeId="0" xr:uid="{C28C5059-6365-4B06-927C-85CE59BC55CF}">
      <text>
        <r>
          <rPr>
            <sz val="10"/>
            <color rgb="FF000000"/>
            <rFont val="Tahoma"/>
            <family val="2"/>
          </rPr>
          <t xml:space="preserve">Confirmed bookings with at least one accommodation component, departing in this financial year
</t>
        </r>
      </text>
    </comment>
    <comment ref="A21" authorId="0" shapeId="0" xr:uid="{5F6E5C86-7362-49B3-940C-2B23FF6F4665}">
      <text>
        <r>
          <rPr>
            <sz val="10"/>
            <color rgb="FF000000"/>
            <rFont val="Tahoma"/>
            <family val="2"/>
          </rPr>
          <t xml:space="preserve">Confirmed bookings with at least one accommodation component attached, quoted by someone other than the website
</t>
        </r>
      </text>
    </comment>
    <comment ref="A22" authorId="0" shapeId="0" xr:uid="{5C0332BD-9447-4A2C-B649-1BFC8E8F10D0}">
      <text>
        <r>
          <rPr>
            <sz val="11"/>
            <color rgb="FF000000"/>
            <rFont val="Calibri"/>
            <family val="2"/>
            <scheme val="minor"/>
          </rPr>
          <t xml:space="preserve">Confirmed bookings with at least one accommodation component attached, quoted by the website
</t>
        </r>
        <r>
          <rPr>
            <sz val="10"/>
            <color rgb="FF000000"/>
            <rFont val="Tahoma"/>
            <family val="2"/>
          </rPr>
          <t xml:space="preserve">
</t>
        </r>
      </text>
    </comment>
    <comment ref="A23" authorId="0" shapeId="0" xr:uid="{B19CA55B-3EEC-4D9D-BEC8-360CD9407573}">
      <text>
        <r>
          <rPr>
            <sz val="10"/>
            <color rgb="FF000000"/>
            <rFont val="Tahoma"/>
            <family val="2"/>
          </rPr>
          <t xml:space="preserve">Percentage of confirmed bookings (excluding flight only) quoted by the website
</t>
        </r>
      </text>
    </comment>
    <comment ref="A24" authorId="0" shapeId="0" xr:uid="{3FFE66B9-3072-40DF-82D4-88E3A1626617}">
      <text>
        <r>
          <rPr>
            <sz val="11"/>
            <color rgb="FF000000"/>
            <rFont val="Calibri"/>
            <family val="2"/>
            <scheme val="minor"/>
          </rPr>
          <t xml:space="preserve">Total number of passengers on any confirmed bookings departing this financial year
</t>
        </r>
      </text>
    </comment>
    <comment ref="A25" authorId="0" shapeId="0" xr:uid="{B745DF1A-B8AD-4A08-A2C7-75C55BB27353}">
      <text>
        <r>
          <rPr>
            <sz val="10"/>
            <color rgb="FF000000"/>
            <rFont val="Tahoma"/>
            <family val="2"/>
          </rPr>
          <t xml:space="preserve">Total confirmed revenue
</t>
        </r>
      </text>
    </comment>
    <comment ref="A26" authorId="0" shapeId="0" xr:uid="{9458705D-2305-49AD-BFE4-900166FB6230}">
      <text>
        <r>
          <rPr>
            <sz val="11"/>
            <color rgb="FF000000"/>
            <rFont val="Calibri"/>
            <family val="2"/>
            <scheme val="minor"/>
          </rPr>
          <t xml:space="preserve">Total confirmed revenue from bookings with at least one accommodation component attached
</t>
        </r>
      </text>
    </comment>
    <comment ref="A27" authorId="0" shapeId="0" xr:uid="{4E47F19E-57C6-429B-BC35-47CF81D0AB19}">
      <text>
        <r>
          <rPr>
            <sz val="11"/>
            <color rgb="FF000000"/>
            <rFont val="Calibri"/>
            <family val="2"/>
            <scheme val="minor"/>
          </rPr>
          <t xml:space="preserve">Total confirmed revenue from bookings with at least one accommodation component attached, departing in this finanical year
</t>
        </r>
      </text>
    </comment>
    <comment ref="A28" authorId="0" shapeId="0" xr:uid="{DA58846E-B205-4794-87D1-40AEBA63E9DB}">
      <text>
        <r>
          <rPr>
            <sz val="10"/>
            <color rgb="FF000000"/>
            <rFont val="Tahoma"/>
            <family val="2"/>
          </rPr>
          <t xml:space="preserve">Average revenue for confirmed bookings with at least one accommodation component attached, departing in this finanical year
</t>
        </r>
      </text>
    </comment>
    <comment ref="A31" authorId="0" shapeId="0" xr:uid="{28B6565F-34A1-4AD3-AAA6-658CB4BE678C}">
      <text>
        <r>
          <rPr>
            <sz val="10"/>
            <color rgb="FF000000"/>
            <rFont val="Tahoma"/>
            <family val="2"/>
          </rPr>
          <t>Total number of outbound committed flight seats sold, departing in this financial year</t>
        </r>
      </text>
    </comment>
    <comment ref="A32" authorId="0" shapeId="0" xr:uid="{92CE8A9A-42D5-42D1-8A73-64253CEA9CF0}">
      <text>
        <r>
          <rPr>
            <sz val="11"/>
            <color rgb="FF000000"/>
            <rFont val="Calibri"/>
            <family val="2"/>
            <scheme val="minor"/>
          </rPr>
          <t>Total number of outbound ad-hoc flight seats sold, departing in this financial year</t>
        </r>
      </text>
    </comment>
  </commentList>
</comments>
</file>

<file path=xl/sharedStrings.xml><?xml version="1.0" encoding="utf-8"?>
<sst xmlns="http://schemas.openxmlformats.org/spreadsheetml/2006/main" count="5571" uniqueCount="1444">
  <si>
    <t>TW</t>
  </si>
  <si>
    <t>LW</t>
  </si>
  <si>
    <t>% WoW</t>
  </si>
  <si>
    <t>TW LY</t>
  </si>
  <si>
    <t>% YoY</t>
  </si>
  <si>
    <t>MTD</t>
  </si>
  <si>
    <t>MTD LY</t>
  </si>
  <si>
    <t>%YoY</t>
  </si>
  <si>
    <t>FY</t>
  </si>
  <si>
    <t>FY LY</t>
  </si>
  <si>
    <t>YoY%</t>
  </si>
  <si>
    <t>DY</t>
  </si>
  <si>
    <t>DY LY</t>
  </si>
  <si>
    <t>Marketing</t>
  </si>
  <si>
    <t>Web traffic</t>
  </si>
  <si>
    <t>PPC</t>
  </si>
  <si>
    <t>Organic</t>
  </si>
  <si>
    <t>Email</t>
  </si>
  <si>
    <t>Online conversions</t>
  </si>
  <si>
    <t>Online PPC conversions</t>
  </si>
  <si>
    <t>PPC spend</t>
  </si>
  <si>
    <t>Tracked PPC enquiry phone calls</t>
  </si>
  <si>
    <t>Cost per online conversion</t>
  </si>
  <si>
    <t>Sales</t>
  </si>
  <si>
    <t>Enquiries</t>
  </si>
  <si>
    <t>Live options</t>
  </si>
  <si>
    <t>Live option value</t>
  </si>
  <si>
    <t>Confirmed bookings</t>
  </si>
  <si>
    <t>Confirmed bookings (excluding flight only)</t>
  </si>
  <si>
    <t>Confirmed bookings (departure year)</t>
  </si>
  <si>
    <t>Call centre</t>
  </si>
  <si>
    <t>Online</t>
  </si>
  <si>
    <t>% bookings online</t>
  </si>
  <si>
    <t>PAX booked</t>
  </si>
  <si>
    <t>Sales revenue</t>
  </si>
  <si>
    <t>Sales revenue (excluding flight only)</t>
  </si>
  <si>
    <t>Sales revenue (departure year)</t>
  </si>
  <si>
    <t>ABV (excluding flight only)</t>
  </si>
  <si>
    <t>Aviation</t>
  </si>
  <si>
    <t>Committed seats sold</t>
  </si>
  <si>
    <t>Ad-hoc seats sold</t>
  </si>
  <si>
    <t>% seats committed</t>
  </si>
  <si>
    <t>Booking analysis (excluding flight only)</t>
  </si>
  <si>
    <t>Source</t>
  </si>
  <si>
    <t>Past client</t>
  </si>
  <si>
    <t>New client</t>
  </si>
  <si>
    <t>Agent (UK)</t>
  </si>
  <si>
    <t>Agent (Overseas)</t>
  </si>
  <si>
    <t>Segment</t>
  </si>
  <si>
    <t>Pre-school family</t>
  </si>
  <si>
    <t>Young family</t>
  </si>
  <si>
    <t>Older family</t>
  </si>
  <si>
    <t>Young couple</t>
  </si>
  <si>
    <t>Older couple</t>
  </si>
  <si>
    <t>Adult group</t>
  </si>
  <si>
    <t>Other</t>
  </si>
  <si>
    <t>Destination</t>
  </si>
  <si>
    <t>Greece</t>
  </si>
  <si>
    <t>Spain</t>
  </si>
  <si>
    <t>Italy</t>
  </si>
  <si>
    <t>Corsica</t>
  </si>
  <si>
    <t>Turkey</t>
  </si>
  <si>
    <t>France (excluding Aquitaine)</t>
  </si>
  <si>
    <t>France</t>
  </si>
  <si>
    <t>Departure month (total)</t>
  </si>
  <si>
    <t>May</t>
  </si>
  <si>
    <t>June</t>
  </si>
  <si>
    <t>July</t>
  </si>
  <si>
    <t>Aug</t>
  </si>
  <si>
    <t>Sep</t>
  </si>
  <si>
    <t>Oct</t>
  </si>
  <si>
    <t>Revenue analysis (excluding flight only)</t>
  </si>
  <si>
    <t>New</t>
  </si>
  <si>
    <t>Online bookings</t>
  </si>
  <si>
    <t>UID</t>
  </si>
  <si>
    <t>dDate</t>
  </si>
  <si>
    <t>dMonth</t>
  </si>
  <si>
    <t>dYear</t>
  </si>
  <si>
    <t>DayNameShort</t>
  </si>
  <si>
    <t>DayNameLong</t>
  </si>
  <si>
    <t>MonthNameShort</t>
  </si>
  <si>
    <t>MonthNameLong</t>
  </si>
  <si>
    <t>DayOfWeekNo</t>
  </si>
  <si>
    <t>WeekNo</t>
  </si>
  <si>
    <t>DayOfMonthNo</t>
  </si>
  <si>
    <t>DayOfYearNo</t>
  </si>
  <si>
    <t>WeekCommencing</t>
  </si>
  <si>
    <t>WeekEnding</t>
  </si>
  <si>
    <t>FinancialYear</t>
  </si>
  <si>
    <t>UID_LY</t>
  </si>
  <si>
    <t>FinancialYear_LY</t>
  </si>
  <si>
    <t>ST_WeekCommencing</t>
  </si>
  <si>
    <t>WeekCommencingFlag</t>
  </si>
  <si>
    <t>UseFlag</t>
  </si>
  <si>
    <t>ST_ISOWeekOfISOYear_TW</t>
  </si>
  <si>
    <t>ST_ISOWeekOfISOYear_LW</t>
  </si>
  <si>
    <t>ST_ISOWeekOfISOYear_LY</t>
  </si>
  <si>
    <t>ST_MonthOfYear_TY</t>
  </si>
  <si>
    <t>ST_MonthOfYear_LY</t>
  </si>
  <si>
    <t>ST_FinancialYear_TY</t>
  </si>
  <si>
    <t>ST_FinancialYear_LY</t>
  </si>
  <si>
    <t>DepartureYearTY.ConfirmedBookingTotal</t>
  </si>
  <si>
    <t>DepartureYearTY.ConfirmedRevenueTotal</t>
  </si>
  <si>
    <t>DepartureYearTY.QuotedBooking</t>
  </si>
  <si>
    <t>DepartureYearTY.OptionedBooking</t>
  </si>
  <si>
    <t>DepartureYearTY.EnquiryBookingSalesCentre</t>
  </si>
  <si>
    <t>DepartureYearTY.LiveOptionBooking</t>
  </si>
  <si>
    <t>DepartureYearTY.LiveOptionRevenue</t>
  </si>
  <si>
    <t>DepartureYearTY.ConfirmedPAXCount</t>
  </si>
  <si>
    <t>DepartureYearTY.ConfirmedCommittedFlightSeatsCount</t>
  </si>
  <si>
    <t>DepartureYearTY.ConfirmedAdHocFlightSeatsCount</t>
  </si>
  <si>
    <t>DepartureYearTY.ConfirmedBookingTotalExcludingFO</t>
  </si>
  <si>
    <t>DepartureYearTY.ConfirmedRevenueTotalExcludingFO</t>
  </si>
  <si>
    <t>DepartureYearTY.ConfirmedBookingSalesCentreExcludingFO</t>
  </si>
  <si>
    <t>DepartureYearTY.ConfirmedBookingWebsiteExcludingFO</t>
  </si>
  <si>
    <t>DepartureYearTY.ConfirmedRevenueSalesCentreExcludingFO</t>
  </si>
  <si>
    <t>DepartureYearTY.ConfirmedRevenueWebsiteExcludingFO</t>
  </si>
  <si>
    <t>DepartureYearTY.ConfirmedBookingPastClientExcludingFO</t>
  </si>
  <si>
    <t>DepartureYearTY.ConfirmedBookingNewClientExcludingFO</t>
  </si>
  <si>
    <t>DepartureYearTY.ConfirmedBookingUKAgent</t>
  </si>
  <si>
    <t>DepartureYearTY.ConfirmedBookingOverseasAgent</t>
  </si>
  <si>
    <t>DepartureYearTY.ConfirmedBookingPreschoolSegmentExcludingFO</t>
  </si>
  <si>
    <t>DepartureYearTY.ConfirmedBookingYoungFamilySegmentExcludingFO</t>
  </si>
  <si>
    <t>DepartureYearTY.ConfirmedBookingOlderFamilySegmentExcludingFO</t>
  </si>
  <si>
    <t>DepartureYearTY.ConfirmedBookingYoungCoupleSegmentExcludingFO</t>
  </si>
  <si>
    <t>DepartureYearTY.ConfirmedBookingOlderCoupleSegmentExcludingFO</t>
  </si>
  <si>
    <t>DepartureYearTY.ConfirmedBookingAdultGroupSegmentExcludingFO</t>
  </si>
  <si>
    <t>DepartureYearTY.ConfirmedBookingOtherSegmentExcludingFO</t>
  </si>
  <si>
    <t>DepartureYearTY.ConfirmedBookingGreeceExcludingFO</t>
  </si>
  <si>
    <t>DepartureYearTY.ConfirmedBookingMallorcaExcludingFO</t>
  </si>
  <si>
    <t>DepartureYearTY.ConfirmedBookingItalyExcludingFO</t>
  </si>
  <si>
    <t>DepartureYearTY.ConfirmedBookingCorsicaExcludingFO</t>
  </si>
  <si>
    <t>DepartureYearTY.ConfirmedBookingTurkeyExcludingFO</t>
  </si>
  <si>
    <t>DepartureYearTY.ConfirmedBookingFranceExcludingAquitaineExcludingFO</t>
  </si>
  <si>
    <t>DepartureYearTY.ConfirmedBookingFranceExcludingFO</t>
  </si>
  <si>
    <t>DepartureYearTY.ConfirmedBookingMayDepartureExcludingFO</t>
  </si>
  <si>
    <t>DepartureYearTY.ConfirmedBookingJuneDepartureExcludingFO</t>
  </si>
  <si>
    <t>DepartureYearTY.ConfirmedBookingJulyDepartureExcludingFO</t>
  </si>
  <si>
    <t>DepartureYearTY.ConfirmedBookingAugustDepartureExcludingFO</t>
  </si>
  <si>
    <t>DepartureYearTY.ConfirmedBookingSeptemberDepartureExcludingFO</t>
  </si>
  <si>
    <t>DepartureYearTY.ConfirmedBookingOctoberDepartureExcludingFO</t>
  </si>
  <si>
    <t>DepartureYearTY.ConfirmedRevenuePastClientExcludingFO</t>
  </si>
  <si>
    <t>DepartureYearTY.ConfirmedRevenueNewClientExcludingFO</t>
  </si>
  <si>
    <t>DepartureYearTY.ConfirmedRevenueUKAgent</t>
  </si>
  <si>
    <t>DepartureYearTY.ConfirmedRevenueOverseasAgent</t>
  </si>
  <si>
    <t>DepartureYearTY.ConfirmedRevenuePreschoolSegmentExcludingFO</t>
  </si>
  <si>
    <t>DepartureYearTY.ConfirmedRevenueYoungFamilySegmentExcludingFO</t>
  </si>
  <si>
    <t>DepartureYearTY.ConfirmedRevenueOlderFamilySegmentExcludingFO</t>
  </si>
  <si>
    <t>DepartureYearTY.ConfirmedRevenueYoungCoupleSegmentExcludingFO</t>
  </si>
  <si>
    <t>DepartureYearTY.ConfirmedRevenueOlderCoupleSegmentExcludingFO</t>
  </si>
  <si>
    <t>DepartureYearTY.ConfirmedRevenueAdultGroupSegmentExcludingFO</t>
  </si>
  <si>
    <t>DepartureYearTY.ConfirmedRevenueOtherSegmentExcludingFO</t>
  </si>
  <si>
    <t>DepartureYearTY.ConfirmedRevenueGreeceExcludingFO</t>
  </si>
  <si>
    <t>DepartureYearTY.ConfirmedRevenueMallorcaExcludingFO</t>
  </si>
  <si>
    <t>DepartureYearTY.ConfirmedRevenueItalyExcludingFO</t>
  </si>
  <si>
    <t>DepartureYearTY.ConfirmedRevenueCorsicaExcludingFO</t>
  </si>
  <si>
    <t>DepartureYearTY.ConfirmedRevenueTurkeyExcludingFO</t>
  </si>
  <si>
    <t>DepartureYearTY.ConfirmedRevenueFranceExcludingAquitaineExcludingFO</t>
  </si>
  <si>
    <t>DepartureYearTY.ConfirmedRevenueFranceExcludingFO</t>
  </si>
  <si>
    <t>DepartureYearTY.ConfirmedRevenueMayDepartureExcludingFO</t>
  </si>
  <si>
    <t>DepartureYearTY.ConfirmedRevenueJuneDepartureExcludingFO</t>
  </si>
  <si>
    <t>DepartureYearTY.ConfirmedRevenueJulyDepartureExcludingFO</t>
  </si>
  <si>
    <t>DepartureYearTY.ConfirmedRevenueAugustDepartureExcludingFO</t>
  </si>
  <si>
    <t>DepartureYearTY.ConfirmedRevenueSeptemberDepartureExcludingFO</t>
  </si>
  <si>
    <t>DepartureYearTY.ConfirmedRevenueOctoberDepartureExcludingFO</t>
  </si>
  <si>
    <t>DepartureYearTY.ConfirmedBookingTotalDepartureYear</t>
  </si>
  <si>
    <t>DepartureYearTY.ConfirmedRevenueTotalDepartureYear</t>
  </si>
  <si>
    <t>DepartureYearTY.QuotedBookingDepartureYear</t>
  </si>
  <si>
    <t>DepartureYearTY.OptionedBookingDepartureYear</t>
  </si>
  <si>
    <t>DepartureYearTY.EnquiryBookingSalesCentreDepartureYear</t>
  </si>
  <si>
    <t>DepartureYearTY.LiveOptionBookingDepartureYear</t>
  </si>
  <si>
    <t>DepartureYearTY.LiveOptionRevenueDepartureYear</t>
  </si>
  <si>
    <t>DepartureYearTY.ConfirmedPAXCountDepartureYear</t>
  </si>
  <si>
    <t>DepartureYearTY.ConfirmedCommittedFlightSeatsCountDepartureYear</t>
  </si>
  <si>
    <t>DepartureYearTY.ConfirmedAdHocFlightSeatsCountDepartureYear</t>
  </si>
  <si>
    <t>DepartureYearTY.ConfirmedBookingTotalExcludingFODepartureYear</t>
  </si>
  <si>
    <t>DepartureYearTY.ConfirmedRevenueTotalExcludingFODepartureYear</t>
  </si>
  <si>
    <t>DepartureYearTY.ConfirmedBookingSalesCentreExcludingFODepartureYear</t>
  </si>
  <si>
    <t>DepartureYearTY.ConfirmedBookingWebsiteExcludingFODepartureYear</t>
  </si>
  <si>
    <t>DepartureYearTY.ConfirmedRevenueSalesCentreExcludingFODepartureYear</t>
  </si>
  <si>
    <t>DepartureYearTY.ConfirmedRevenueWebsiteExcludingFODepartureYear</t>
  </si>
  <si>
    <t>DepartureYearTY.ConfirmedBookingPastClientExcludingFODepartureYear</t>
  </si>
  <si>
    <t>DepartureYearTY.ConfirmedBookingNewClientExcludingFODepartureYear</t>
  </si>
  <si>
    <t>DepartureYearTY.ConfirmedBookingUKAgentDepartureYear</t>
  </si>
  <si>
    <t>DepartureYearTY.ConfirmedBookingOverseasAgentDepartureYear</t>
  </si>
  <si>
    <t>DepartureYearTY.ConfirmedBookingPreschoolSegmentExcludingFODepartureYear</t>
  </si>
  <si>
    <t>DepartureYearTY.ConfirmedBookingYoungFamilySegmentExcludingFODepartureYear</t>
  </si>
  <si>
    <t>DepartureYearTY.ConfirmedBookingOlderFamilySegmentExcludingFODepartureYear</t>
  </si>
  <si>
    <t>DepartureYearTY.ConfirmedBookingYoungCoupleSegmentExcludingFODepartureYear</t>
  </si>
  <si>
    <t>DepartureYearTY.ConfirmedBookingOlderCoupleSegmentExcludingFODepartureYear</t>
  </si>
  <si>
    <t>DepartureYearTY.ConfirmedBookingAdultGroupSegmentExcludingFODepartureYear</t>
  </si>
  <si>
    <t>DepartureYearTY.ConfirmedBookingOtherSegmentExcludingFODepartureYear</t>
  </si>
  <si>
    <t>DepartureYearTY.ConfirmedBookingGreeceExcludingFODepartureYear</t>
  </si>
  <si>
    <t>DepartureYearTY.ConfirmedBookingMallorcaExcludingFODepartureYear</t>
  </si>
  <si>
    <t>DepartureYearTY.ConfirmedBookingItalyExcludingFODepartureYear</t>
  </si>
  <si>
    <t>DepartureYearTY.ConfirmedBookingCorsicaExcludingFODepartureYear</t>
  </si>
  <si>
    <t>DepartureYearTY.ConfirmedBookingTurkeyExcludingFODepartureYear</t>
  </si>
  <si>
    <t>DepartureYearTY.ConfirmedBookingFranceExcludingAquitaineExcludingFODepartureYear</t>
  </si>
  <si>
    <t>DepartureYearTY.ConfirmedBookingFranceExcludingFODepartureYear</t>
  </si>
  <si>
    <t>DepartureYearTY.ConfirmedBookingMayDepartureExcludingFODepartureYear</t>
  </si>
  <si>
    <t>DepartureYearTY.ConfirmedBookingJuneDepartureExcludingFODepartureYear</t>
  </si>
  <si>
    <t>DepartureYearTY.ConfirmedBookingJulyDepartureExcludingFODepartureYear</t>
  </si>
  <si>
    <t>DepartureYearTY.ConfirmedBookingAugustDepartureExcludingFODepartureYear</t>
  </si>
  <si>
    <t>DepartureYearTY.ConfirmedBookingSeptemberDepartureExcludingFODepartureYear</t>
  </si>
  <si>
    <t>DepartureYearTY.ConfirmedBookingOctoberDepartureExcludingFODepartureYear</t>
  </si>
  <si>
    <t>DepartureYearTY.ConfirmedRevenuePastClientExcludingFODepartureYear</t>
  </si>
  <si>
    <t>DepartureYearTY.ConfirmedRevenueNewClientExcludingFODepartureYear</t>
  </si>
  <si>
    <t>DepartureYearTY.ConfirmedRevenueUKAgentDepartureYear</t>
  </si>
  <si>
    <t>DepartureYearTY.ConfirmedRevenueOverseasAgentDepartureYear</t>
  </si>
  <si>
    <t>DepartureYearTY.ConfirmedRevenuePreschoolSegmentExcludingFODepartureYear</t>
  </si>
  <si>
    <t>DepartureYearTY.ConfirmedRevenueYoungFamilySegmentExcludingFODepartureYear</t>
  </si>
  <si>
    <t>DepartureYearTY.ConfirmedRevenueOlderFamilySegmentExcludingFODepartureYear</t>
  </si>
  <si>
    <t>DepartureYearTY.ConfirmedRevenueYoungCoupleSegmentExcludingFODepartureYear</t>
  </si>
  <si>
    <t>DepartureYearTY.ConfirmedRevenueOlderCoupleSegmentExcludingFODepartureYear</t>
  </si>
  <si>
    <t>DepartureYearTY.ConfirmedRevenueAdultGroupSegmentExcludingFODepartureYear</t>
  </si>
  <si>
    <t>DepartureYearTY.ConfirmedRevenueOtherSegmentExcludingFODepartureYear</t>
  </si>
  <si>
    <t>DepartureYearTY.ConfirmedRevenueGreeceExcludingFODepartureYear</t>
  </si>
  <si>
    <t>DepartureYearTY.ConfirmedRevenueMallorcaExcludingFODepartureYear</t>
  </si>
  <si>
    <t>DepartureYearTY.ConfirmedRevenueItalyExcludingFODepartureYear</t>
  </si>
  <si>
    <t>DepartureYearTY.ConfirmedRevenueCorsicaExcludingFODepartureYear</t>
  </si>
  <si>
    <t>DepartureYearTY.ConfirmedRevenueTurkeyExcludingFODepartureYear</t>
  </si>
  <si>
    <t>DepartureYearTY.ConfirmedRevenueFranceExcludingAquitaineExcludingFODepartureYear</t>
  </si>
  <si>
    <t>DepartureYearTY.ConfirmedRevenueFranceExcludingFODepartureYear</t>
  </si>
  <si>
    <t>DepartureYearTY.ConfirmedRevenueMayDepartureExcludingFODepartureYear</t>
  </si>
  <si>
    <t>DepartureYearTY.ConfirmedRevenueJuneDepartureExcludingFODepartureYear</t>
  </si>
  <si>
    <t>DepartureYearTY.ConfirmedRevenueJulyDepartureExcludingFODepartureYear</t>
  </si>
  <si>
    <t>DepartureYearTY.ConfirmedRevenueAugustDepartureExcludingFODepartureYear</t>
  </si>
  <si>
    <t>DepartureYearTY.ConfirmedRevenueSeptemberDepartureExcludingFODepartureYear</t>
  </si>
  <si>
    <t>DepartureYearTY.ConfirmedRevenueOctoberDepartureExcludingFODepartureYear</t>
  </si>
  <si>
    <t>DepartureYearLY.ConfirmedBookingTotal</t>
  </si>
  <si>
    <t>DepartureYearLY.ConfirmedRevenueTotal</t>
  </si>
  <si>
    <t>DepartureYearLY.QuotedBooking</t>
  </si>
  <si>
    <t>DepartureYearLY.OptionedBooking</t>
  </si>
  <si>
    <t>DepartureYearLY.EnquiryBookingSalesCentre</t>
  </si>
  <si>
    <t>DepartureYearLY.LiveOptionBooking</t>
  </si>
  <si>
    <t>DepartureYearLY.LiveOptionRevenue</t>
  </si>
  <si>
    <t>DepartureYearLY.ConfirmedPAXCount</t>
  </si>
  <si>
    <t>DepartureYearLY.ConfirmedCommittedFlightSeatsCount</t>
  </si>
  <si>
    <t>DepartureYearLY.ConfirmedAdHocFlightSeatsCount</t>
  </si>
  <si>
    <t>DepartureYearLY.ConfirmedBookingTotalExcludingFO</t>
  </si>
  <si>
    <t>DepartureYearLY.ConfirmedRevenueTotalExcludingFO</t>
  </si>
  <si>
    <t>DepartureYearLY.ConfirmedBookingSalesCentreExcludingFO</t>
  </si>
  <si>
    <t>DepartureYearLY.ConfirmedBookingWebsiteExcludingFO</t>
  </si>
  <si>
    <t>DepartureYearLY.ConfirmedRevenueSalesCentreExcludingFO</t>
  </si>
  <si>
    <t>DepartureYearLY.ConfirmedRevenueWebsiteExcludingFO</t>
  </si>
  <si>
    <t>DepartureYearLY.ConfirmedBookingPastClientExcludingFO</t>
  </si>
  <si>
    <t>DepartureYearLY.ConfirmedBookingNewClientExcludingFO</t>
  </si>
  <si>
    <t>DepartureYearLY.ConfirmedBookingUKAgent</t>
  </si>
  <si>
    <t>DepartureYearLY.ConfirmedBookingOverseasAgent</t>
  </si>
  <si>
    <t>DepartureYearLY.ConfirmedBookingPreschoolSegmentExcludingFO</t>
  </si>
  <si>
    <t>DepartureYearLY.ConfirmedBookingYoungFamilySegmentExcludingFO</t>
  </si>
  <si>
    <t>DepartureYearLY.ConfirmedBookingOlderFamilySegmentExcludingFO</t>
  </si>
  <si>
    <t>DepartureYearLY.ConfirmedBookingYoungCoupleSegmentExcludingFO</t>
  </si>
  <si>
    <t>DepartureYearLY.ConfirmedBookingOlderCoupleSegmentExcludingFO</t>
  </si>
  <si>
    <t>DepartureYearLY.ConfirmedBookingAdultGroupSegmentExcludingFO</t>
  </si>
  <si>
    <t>DepartureYearLY.ConfirmedBookingOtherSegmentExcludingFO</t>
  </si>
  <si>
    <t>DepartureYearLY.ConfirmedBookingGreeceExcludingFO</t>
  </si>
  <si>
    <t>DepartureYearLY.ConfirmedBookingMallorcaExcludingFO</t>
  </si>
  <si>
    <t>DepartureYearLY.ConfirmedBookingItalyExcludingFO</t>
  </si>
  <si>
    <t>DepartureYearLY.ConfirmedBookingCorsicaExcludingFO</t>
  </si>
  <si>
    <t>DepartureYearLY.ConfirmedBookingTurkeyExcludingFO</t>
  </si>
  <si>
    <t>DepartureYearLY.ConfirmedBookingFranceExcludingAquitaineExcludingFO</t>
  </si>
  <si>
    <t>DepartureYearLY.ConfirmedBookingFranceExcludingFO</t>
  </si>
  <si>
    <t>DepartureYearLY.ConfirmedBookingMayDepartureExcludingFO</t>
  </si>
  <si>
    <t>DepartureYearLY.ConfirmedBookingJuneDepartureExcludingFO</t>
  </si>
  <si>
    <t>DepartureYearLY.ConfirmedBookingJulyDepartureExcludingFO</t>
  </si>
  <si>
    <t>DepartureYearLY.ConfirmedBookingAugustDepartureExcludingFO</t>
  </si>
  <si>
    <t>DepartureYearLY.ConfirmedBookingSeptemberDepartureExcludingFO</t>
  </si>
  <si>
    <t>DepartureYearLY.ConfirmedBookingOctoberDepartureExcludingFO</t>
  </si>
  <si>
    <t>DepartureYearLY.ConfirmedRevenuePastClientExcludingFO</t>
  </si>
  <si>
    <t>DepartureYearLY.ConfirmedRevenueNewClientExcludingFO</t>
  </si>
  <si>
    <t>DepartureYearLY.ConfirmedRevenueUKAgent</t>
  </si>
  <si>
    <t>DepartureYearLY.ConfirmedRevenueOverseasAgent</t>
  </si>
  <si>
    <t>DepartureYearLY.ConfirmedRevenuePreschoolSegmentExcludingFO</t>
  </si>
  <si>
    <t>DepartureYearLY.ConfirmedRevenueYoungFamilySegmentExcludingFO</t>
  </si>
  <si>
    <t>DepartureYearLY.ConfirmedRevenueOlderFamilySegmentExcludingFO</t>
  </si>
  <si>
    <t>DepartureYearLY.ConfirmedRevenueYoungCoupleSegmentExcludingFO</t>
  </si>
  <si>
    <t>DepartureYearLY.ConfirmedRevenueOlderCoupleSegmentExcludingFO</t>
  </si>
  <si>
    <t>DepartureYearLY.ConfirmedRevenueAdultGroupSegmentExcludingFO</t>
  </si>
  <si>
    <t>DepartureYearLY.ConfirmedRevenueOtherSegmentExcludingFO</t>
  </si>
  <si>
    <t>DepartureYearLY.ConfirmedRevenueGreeceExcludingFO</t>
  </si>
  <si>
    <t>DepartureYearLY.ConfirmedRevenueMallorcaExcludingFO</t>
  </si>
  <si>
    <t>DepartureYearLY.ConfirmedRevenueItalyExcludingFO</t>
  </si>
  <si>
    <t>DepartureYearLY.ConfirmedRevenueCorsicaExcludingFO</t>
  </si>
  <si>
    <t>DepartureYearLY.ConfirmedRevenueTurkeyExcludingFO</t>
  </si>
  <si>
    <t>DepartureYearLY.ConfirmedRevenueFranceExcludingAquitaineExcludingFO</t>
  </si>
  <si>
    <t>DepartureYearLY.ConfirmedRevenueFranceExcludingFO</t>
  </si>
  <si>
    <t>DepartureYearLY.ConfirmedRevenueMayDepartureExcludingFO</t>
  </si>
  <si>
    <t>DepartureYearLY.ConfirmedRevenueJuneDepartureExcludingFO</t>
  </si>
  <si>
    <t>DepartureYearLY.ConfirmedRevenueJulyDepartureExcludingFO</t>
  </si>
  <si>
    <t>DepartureYearLY.ConfirmedRevenueAugustDepartureExcludingFO</t>
  </si>
  <si>
    <t>DepartureYearLY.ConfirmedRevenueSeptemberDepartureExcludingFO</t>
  </si>
  <si>
    <t>DepartureYearLY.ConfirmedRevenueOctoberDepartureExcludingFO</t>
  </si>
  <si>
    <t>DepartureYearLY.ConfirmedBookingTotalDepartureYear</t>
  </si>
  <si>
    <t>DepartureYearLY.ConfirmedRevenueTotalDepartureYear</t>
  </si>
  <si>
    <t>DepartureYearLY.QuotedBookingDepartureYear</t>
  </si>
  <si>
    <t>DepartureYearLY.OptionedBookingDepartureYear</t>
  </si>
  <si>
    <t>DepartureYearLY.EnquiryBookingSalesCentreDepartureYear</t>
  </si>
  <si>
    <t>DepartureYearLY.LiveOptionBookingDepartureYear</t>
  </si>
  <si>
    <t>DepartureYearLY.LiveOptionRevenueDepartureYear</t>
  </si>
  <si>
    <t>DepartureYearLY.ConfirmedPAXCountDepartureYear</t>
  </si>
  <si>
    <t>DepartureYearLY.ConfirmedCommittedFlightSeatsCountDepartureYear</t>
  </si>
  <si>
    <t>DepartureYearLY.ConfirmedAdHocFlightSeatsCountDepartureYear</t>
  </si>
  <si>
    <t>DepartureYearLY.ConfirmedBookingTotalExcludingFODepartureYear</t>
  </si>
  <si>
    <t>DepartureYearLY.ConfirmedRevenueTotalExcludingFODepartureYear</t>
  </si>
  <si>
    <t>DepartureYearLY.ConfirmedBookingSalesCentreExcludingFODepartureYear</t>
  </si>
  <si>
    <t>DepartureYearLY.ConfirmedBookingWebsiteExcludingFODepartureYear</t>
  </si>
  <si>
    <t>DepartureYearLY.ConfirmedRevenueSalesCentreExcludingFODepartureYear</t>
  </si>
  <si>
    <t>DepartureYearLY.ConfirmedRevenueWebsiteExcludingFODepartureYear</t>
  </si>
  <si>
    <t>DepartureYearLY.ConfirmedBookingPastClientExcludingFODepartureYear</t>
  </si>
  <si>
    <t>DepartureYearLY.ConfirmedBookingNewClientExcludingFODepartureYear</t>
  </si>
  <si>
    <t>DepartureYearLY.ConfirmedBookingUKAgentDepartureYear</t>
  </si>
  <si>
    <t>DepartureYearLY.ConfirmedBookingOverseasAgentDepartureYear</t>
  </si>
  <si>
    <t>DepartureYearLY.ConfirmedBookingPreschoolSegmentExcludingFODepartureYear</t>
  </si>
  <si>
    <t>DepartureYearLY.ConfirmedBookingYoungFamilySegmentExcludingFODepartureYear</t>
  </si>
  <si>
    <t>DepartureYearLY.ConfirmedBookingOlderFamilySegmentExcludingFODepartureYear</t>
  </si>
  <si>
    <t>DepartureYearLY.ConfirmedBookingYoungCoupleSegmentExcludingFODepartureYear</t>
  </si>
  <si>
    <t>DepartureYearLY.ConfirmedBookingOlderCoupleSegmentExcludingFODepartureYear</t>
  </si>
  <si>
    <t>DepartureYearLY.ConfirmedBookingAdultGroupSegmentExcludingFODepartureYear</t>
  </si>
  <si>
    <t>DepartureYearLY.ConfirmedBookingOtherSegmentExcludingFODepartureYear</t>
  </si>
  <si>
    <t>DepartureYearLY.ConfirmedBookingGreeceExcludingFODepartureYear</t>
  </si>
  <si>
    <t>DepartureYearLY.ConfirmedBookingMallorcaExcludingFODepartureYear</t>
  </si>
  <si>
    <t>DepartureYearLY.ConfirmedBookingItalyExcludingFODepartureYear</t>
  </si>
  <si>
    <t>DepartureYearLY.ConfirmedBookingCorsicaExcludingFODepartureYear</t>
  </si>
  <si>
    <t>DepartureYearLY.ConfirmedBookingTurkeyExcludingFODepartureYear</t>
  </si>
  <si>
    <t>DepartureYearLY.ConfirmedBookingFranceExcludingAquitaineExcludingFODepartureYear</t>
  </si>
  <si>
    <t>DepartureYearLY.ConfirmedBookingFranceExcludingFODepartureYear</t>
  </si>
  <si>
    <t>DepartureYearLY.ConfirmedBookingMayDepartureExcludingFODepartureYear</t>
  </si>
  <si>
    <t>DepartureYearLY.ConfirmedBookingJuneDepartureExcludingFODepartureYear</t>
  </si>
  <si>
    <t>DepartureYearLY.ConfirmedBookingJulyDepartureExcludingFODepartureYear</t>
  </si>
  <si>
    <t>DepartureYearLY.ConfirmedBookingAugustDepartureExcludingFODepartureYear</t>
  </si>
  <si>
    <t>DepartureYearLY.ConfirmedBookingSeptemberDepartureExcludingFODepartureYear</t>
  </si>
  <si>
    <t>DepartureYearLY.ConfirmedBookingOctoberDepartureExcludingFODepartureYear</t>
  </si>
  <si>
    <t>DepartureYearLY.ConfirmedRevenuePastClientExcludingFODepartureYear</t>
  </si>
  <si>
    <t>DepartureYearLY.ConfirmedRevenueNewClientExcludingFODepartureYear</t>
  </si>
  <si>
    <t>DepartureYearLY.ConfirmedRevenueUKAgentDepartureYear</t>
  </si>
  <si>
    <t>DepartureYearLY.ConfirmedRevenueOverseasAgentDepartureYear</t>
  </si>
  <si>
    <t>DepartureYearLY.ConfirmedRevenuePreschoolSegmentExcludingFODepartureYear</t>
  </si>
  <si>
    <t>DepartureYearLY.ConfirmedRevenueYoungFamilySegmentExcludingFODepartureYear</t>
  </si>
  <si>
    <t>DepartureYearLY.ConfirmedRevenueOlderFamilySegmentExcludingFODepartureYear</t>
  </si>
  <si>
    <t>DepartureYearLY.ConfirmedRevenueYoungCoupleSegmentExcludingFODepartureYear</t>
  </si>
  <si>
    <t>DepartureYearLY.ConfirmedRevenueOlderCoupleSegmentExcludingFODepartureYear</t>
  </si>
  <si>
    <t>DepartureYearLY.ConfirmedRevenueAdultGroupSegmentExcludingFODepartureYear</t>
  </si>
  <si>
    <t>DepartureYearLY.ConfirmedRevenueOtherSegmentExcludingFODepartureYear</t>
  </si>
  <si>
    <t>DepartureYearLY.ConfirmedRevenueGreeceExcludingFODepartureYear</t>
  </si>
  <si>
    <t>DepartureYearLY.ConfirmedRevenueMallorcaExcludingFODepartureYear</t>
  </si>
  <si>
    <t>DepartureYearLY.ConfirmedRevenueItalyExcludingFODepartureYear</t>
  </si>
  <si>
    <t>DepartureYearLY.ConfirmedRevenueCorsicaExcludingFODepartureYear</t>
  </si>
  <si>
    <t>DepartureYearLY.ConfirmedRevenueTurkeyExcludingFODepartureYear</t>
  </si>
  <si>
    <t>DepartureYearLY.ConfirmedRevenueFranceExcludingAquitaineExcludingFODepartureYear</t>
  </si>
  <si>
    <t>DepartureYearLY.ConfirmedRevenueFranceExcludingFODepartureYear</t>
  </si>
  <si>
    <t>DepartureYearLY.ConfirmedRevenueMayDepartureExcludingFODepartureYear</t>
  </si>
  <si>
    <t>DepartureYearLY.ConfirmedRevenueJuneDepartureExcludingFODepartureYear</t>
  </si>
  <si>
    <t>DepartureYearLY.ConfirmedRevenueJulyDepartureExcludingFODepartureYear</t>
  </si>
  <si>
    <t>DepartureYearLY.ConfirmedRevenueAugustDepartureExcludingFODepartureYear</t>
  </si>
  <si>
    <t>DepartureYearLY.ConfirmedRevenueSeptemberDepartureExcludingFODepartureYear</t>
  </si>
  <si>
    <t>DepartureYearLY.ConfirmedRevenueOctoberDepartureExcludingFODepartureYear</t>
  </si>
  <si>
    <t>ConfirmedTW.ConfirmedBookingTotal</t>
  </si>
  <si>
    <t>ConfirmedTW.ConfirmedRevenueTotal</t>
  </si>
  <si>
    <t>ConfirmedTW.ConfirmedPAXCount</t>
  </si>
  <si>
    <t>ConfirmedTW.ConfirmedCommittedFlightSeatsCount</t>
  </si>
  <si>
    <t>ConfirmedTW.ConfirmedAdHocFlightSeatsCount</t>
  </si>
  <si>
    <t>ConfirmedTW.ConfirmedBookingTotalExcludingFO</t>
  </si>
  <si>
    <t>ConfirmedTW.ConfirmedRevenueTotalExcludingFO</t>
  </si>
  <si>
    <t>ConfirmedTW.ConfirmedBookingSalesCentreExcludingFO</t>
  </si>
  <si>
    <t>ConfirmedTW.ConfirmedBookingWebsiteExcludingFO</t>
  </si>
  <si>
    <t>ConfirmedTW.ConfirmedRevenueSalesCentreExcludingFO</t>
  </si>
  <si>
    <t>ConfirmedTW.ConfirmedRevenueWebsiteExcludingFO</t>
  </si>
  <si>
    <t>ConfirmedTW.ConfirmedBookingPastClientExcludingFO</t>
  </si>
  <si>
    <t>ConfirmedTW.ConfirmedBookingNewClientExcludingFO</t>
  </si>
  <si>
    <t>ConfirmedTW.ConfirmedBookingUKAgent</t>
  </si>
  <si>
    <t>ConfirmedTW.ConfirmedBookingOverseasAgent</t>
  </si>
  <si>
    <t>ConfirmedTW.ConfirmedBookingPreschoolSegmentExcludingFO</t>
  </si>
  <si>
    <t>ConfirmedTW.ConfirmedBookingYoungFamilySegmentExcludingFO</t>
  </si>
  <si>
    <t>ConfirmedTW.ConfirmedBookingOlderFamilySegmentExcludingFO</t>
  </si>
  <si>
    <t>ConfirmedTW.ConfirmedBookingYoungCoupleSegmentExcludingFO</t>
  </si>
  <si>
    <t>ConfirmedTW.ConfirmedBookingOlderCoupleSegmentExcludingFO</t>
  </si>
  <si>
    <t>ConfirmedTW.ConfirmedBookingAdultGroupSegmentExcludingFO</t>
  </si>
  <si>
    <t>ConfirmedTW.ConfirmedBookingOtherSegmentExcludingFO</t>
  </si>
  <si>
    <t>ConfirmedTW.ConfirmedBookingGreeceExcludingFO</t>
  </si>
  <si>
    <t>ConfirmedTW.ConfirmedBookingMallorcaExcludingFO</t>
  </si>
  <si>
    <t>ConfirmedTW.ConfirmedBookingItalyExcludingFO</t>
  </si>
  <si>
    <t>ConfirmedTW.ConfirmedBookingCorsicaExcludingFO</t>
  </si>
  <si>
    <t>ConfirmedTW.ConfirmedBookingTurkeyExcludingFO</t>
  </si>
  <si>
    <t>ConfirmedTW.ConfirmedBookingFranceExcludingAquitaineExcludingFO</t>
  </si>
  <si>
    <t>ConfirmedTW.ConfirmedBookingFranceExcludingFO</t>
  </si>
  <si>
    <t>ConfirmedTW.ConfirmedBookingMayDepartureExcludingFO</t>
  </si>
  <si>
    <t>ConfirmedTW.ConfirmedBookingJuneDepartureExcludingFO</t>
  </si>
  <si>
    <t>ConfirmedTW.ConfirmedBookingJulyDepartureExcludingFO</t>
  </si>
  <si>
    <t>ConfirmedTW.ConfirmedBookingAugustDepartureExcludingFO</t>
  </si>
  <si>
    <t>ConfirmedTW.ConfirmedBookingSeptemberDepartureExcludingFO</t>
  </si>
  <si>
    <t>ConfirmedTW.ConfirmedBookingOctoberDepartureExcludingFO</t>
  </si>
  <si>
    <t>ConfirmedTW.ConfirmedRevenuePastClientExcludingFO</t>
  </si>
  <si>
    <t>ConfirmedTW.ConfirmedRevenueNewClientExcludingFO</t>
  </si>
  <si>
    <t>ConfirmedTW.ConfirmedRevenueUKAgent</t>
  </si>
  <si>
    <t>ConfirmedTW.ConfirmedRevenueOverseasAgent</t>
  </si>
  <si>
    <t>ConfirmedTW.ConfirmedRevenuePreschoolSegmentExcludingFO</t>
  </si>
  <si>
    <t>ConfirmedTW.ConfirmedRevenueYoungFamilySegmentExcludingFO</t>
  </si>
  <si>
    <t>ConfirmedTW.ConfirmedRevenueOlderFamilySegmentExcludingFO</t>
  </si>
  <si>
    <t>ConfirmedTW.ConfirmedRevenueYoungCoupleSegmentExcludingFO</t>
  </si>
  <si>
    <t>ConfirmedTW.ConfirmedRevenueOlderCoupleSegmentExcludingFO</t>
  </si>
  <si>
    <t>ConfirmedTW.ConfirmedRevenueAdultGroupSegmentExcludingFO</t>
  </si>
  <si>
    <t>ConfirmedTW.ConfirmedRevenueOtherSegmentExcludingFO</t>
  </si>
  <si>
    <t>ConfirmedTW.ConfirmedRevenueGreeceExcludingFO</t>
  </si>
  <si>
    <t>ConfirmedTW.ConfirmedRevenueMallorcaExcludingFO</t>
  </si>
  <si>
    <t>ConfirmedTW.ConfirmedRevenueItalyExcludingFO</t>
  </si>
  <si>
    <t>ConfirmedTW.ConfirmedRevenueCorsicaExcludingFO</t>
  </si>
  <si>
    <t>ConfirmedTW.ConfirmedRevenueTurkeyExcludingFO</t>
  </si>
  <si>
    <t>ConfirmedTW.ConfirmedRevenueFranceExcludingAquitaineExcludingFO</t>
  </si>
  <si>
    <t>ConfirmedTW.ConfirmedRevenueFranceExcludingFO</t>
  </si>
  <si>
    <t>ConfirmedTW.ConfirmedRevenueMayDepartureExcludingFO</t>
  </si>
  <si>
    <t>ConfirmedTW.ConfirmedRevenueJuneDepartureExcludingFO</t>
  </si>
  <si>
    <t>ConfirmedTW.ConfirmedRevenueJulyDepartureExcludingFO</t>
  </si>
  <si>
    <t>ConfirmedTW.ConfirmedRevenueAugustDepartureExcludingFO</t>
  </si>
  <si>
    <t>ConfirmedTW.ConfirmedRevenueSeptemberDepartureExcludingFO</t>
  </si>
  <si>
    <t>ConfirmedTW.ConfirmedRevenueOctoberDepartureExcludingFO</t>
  </si>
  <si>
    <t>ConfirmedTW.ConfirmedBookingTotalDepartureYear</t>
  </si>
  <si>
    <t>ConfirmedTW.ConfirmedRevenueTotalDepartureYear</t>
  </si>
  <si>
    <t>ConfirmedTW.ConfirmedPAXCountDepartureYear</t>
  </si>
  <si>
    <t>ConfirmedTW.ConfirmedCommittedFlightSeatsCountDepartureYear</t>
  </si>
  <si>
    <t>ConfirmedTW.ConfirmedAdHocFlightSeatsCountDepartureYear</t>
  </si>
  <si>
    <t>ConfirmedTW.ConfirmedBookingTotalExcludingFODepartureYear</t>
  </si>
  <si>
    <t>ConfirmedTW.ConfirmedRevenueTotalExcludingFODepartureYear</t>
  </si>
  <si>
    <t>ConfirmedTW.ConfirmedBookingSalesCentreExcludingFODepartureYear</t>
  </si>
  <si>
    <t>ConfirmedTW.ConfirmedBookingWebsiteExcludingFODepartureYear</t>
  </si>
  <si>
    <t>ConfirmedTW.ConfirmedRevenueSalesCentreExcludingFODepartureYear</t>
  </si>
  <si>
    <t>ConfirmedTW.ConfirmedRevenueWebsiteExcludingFODepartureYear</t>
  </si>
  <si>
    <t>ConfirmedTW.ConfirmedBookingPastClientExcludingFODepartureYear</t>
  </si>
  <si>
    <t>ConfirmedTW.ConfirmedBookingNewClientExcludingFODepartureYear</t>
  </si>
  <si>
    <t>ConfirmedTW.ConfirmedBookingUKAgentDepartureYear</t>
  </si>
  <si>
    <t>ConfirmedTW.ConfirmedBookingOverseasAgentDepartureYear</t>
  </si>
  <si>
    <t>ConfirmedTW.ConfirmedBookingPreschoolSegmentExcludingFODepartureYear</t>
  </si>
  <si>
    <t>ConfirmedTW.ConfirmedBookingYoungFamilySegmentExcludingFODepartureYear</t>
  </si>
  <si>
    <t>ConfirmedTW.ConfirmedBookingOlderFamilySegmentExcludingFODepartureYear</t>
  </si>
  <si>
    <t>ConfirmedTW.ConfirmedBookingYoungCoupleSegmentExcludingFODepartureYear</t>
  </si>
  <si>
    <t>ConfirmedTW.ConfirmedBookingOlderCoupleSegmentExcludingFODepartureYear</t>
  </si>
  <si>
    <t>ConfirmedTW.ConfirmedBookingAdultGroupSegmentExcludingFODepartureYear</t>
  </si>
  <si>
    <t>ConfirmedTW.ConfirmedBookingOtherSegmentExcludingFODepartureYear</t>
  </si>
  <si>
    <t>ConfirmedTW.ConfirmedBookingGreeceExcludingFODepartureYear</t>
  </si>
  <si>
    <t>ConfirmedTW.ConfirmedBookingMallorcaExcludingFODepartureYear</t>
  </si>
  <si>
    <t>ConfirmedTW.ConfirmedBookingItalyExcludingFODepartureYear</t>
  </si>
  <si>
    <t>ConfirmedTW.ConfirmedBookingCorsicaExcludingFODepartureYear</t>
  </si>
  <si>
    <t>ConfirmedTW.ConfirmedBookingTurkeyExcludingFODepartureYear</t>
  </si>
  <si>
    <t>ConfirmedTW.ConfirmedBookingFranceExcludingAquitaineExcludingFODepartureYear</t>
  </si>
  <si>
    <t>ConfirmedTW.ConfirmedBookingFranceExcludingFODepartureYear</t>
  </si>
  <si>
    <t>ConfirmedTW.ConfirmedBookingMayDepartureExcludingFODepartureYear</t>
  </si>
  <si>
    <t>ConfirmedTW.ConfirmedBookingJuneDepartureExcludingFODepartureYear</t>
  </si>
  <si>
    <t>ConfirmedTW.ConfirmedBookingJulyDepartureExcludingFODepartureYear</t>
  </si>
  <si>
    <t>ConfirmedTW.ConfirmedBookingAugustDepartureExcludingFODepartureYear</t>
  </si>
  <si>
    <t>ConfirmedTW.ConfirmedBookingSeptemberDepartureExcludingFODepartureYear</t>
  </si>
  <si>
    <t>ConfirmedTW.ConfirmedBookingOctoberDepartureExcludingFODepartureYear</t>
  </si>
  <si>
    <t>ConfirmedTW.ConfirmedRevenuePastClientExcludingFODepartureYear</t>
  </si>
  <si>
    <t>ConfirmedTW.ConfirmedRevenueNewClientExcludingFODepartureYear</t>
  </si>
  <si>
    <t>ConfirmedTW.ConfirmedRevenueUKAgentDepartureYear</t>
  </si>
  <si>
    <t>ConfirmedTW.ConfirmedRevenueOverseasAgentDepartureYear</t>
  </si>
  <si>
    <t>ConfirmedTW.ConfirmedRevenuePreschoolSegmentExcludingFODepartureYear</t>
  </si>
  <si>
    <t>ConfirmedTW.ConfirmedRevenueYoungFamilySegmentExcludingFODepartureYear</t>
  </si>
  <si>
    <t>ConfirmedTW.ConfirmedRevenueOlderFamilySegmentExcludingFODepartureYear</t>
  </si>
  <si>
    <t>ConfirmedTW.ConfirmedRevenueYoungCoupleSegmentExcludingFODepartureYear</t>
  </si>
  <si>
    <t>ConfirmedTW.ConfirmedRevenueOlderCoupleSegmentExcludingFODepartureYear</t>
  </si>
  <si>
    <t>ConfirmedTW.ConfirmedRevenueAdultGroupSegmentExcludingFODepartureYear</t>
  </si>
  <si>
    <t>ConfirmedTW.ConfirmedRevenueOtherSegmentExcludingFODepartureYear</t>
  </si>
  <si>
    <t>ConfirmedTW.ConfirmedRevenueGreeceExcludingFODepartureYear</t>
  </si>
  <si>
    <t>ConfirmedTW.ConfirmedRevenueMallorcaExcludingFODepartureYear</t>
  </si>
  <si>
    <t>ConfirmedTW.ConfirmedRevenueItalyExcludingFODepartureYear</t>
  </si>
  <si>
    <t>ConfirmedTW.ConfirmedRevenueCorsicaExcludingFODepartureYear</t>
  </si>
  <si>
    <t>ConfirmedTW.ConfirmedRevenueTurkeyExcludingFODepartureYear</t>
  </si>
  <si>
    <t>ConfirmedTW.ConfirmedRevenueFranceExcludingAquitaineExcludingFODepartureYear</t>
  </si>
  <si>
    <t>ConfirmedTW.ConfirmedRevenueFranceExcludingFODepartureYear</t>
  </si>
  <si>
    <t>ConfirmedTW.ConfirmedRevenueMayDepartureExcludingFODepartureYear</t>
  </si>
  <si>
    <t>ConfirmedTW.ConfirmedRevenueJuneDepartureExcludingFODepartureYear</t>
  </si>
  <si>
    <t>ConfirmedTW.ConfirmedRevenueJulyDepartureExcludingFODepartureYear</t>
  </si>
  <si>
    <t>ConfirmedTW.ConfirmedRevenueAugustDepartureExcludingFODepartureYear</t>
  </si>
  <si>
    <t>ConfirmedTW.ConfirmedRevenueSeptemberDepartureExcludingFODepartureYear</t>
  </si>
  <si>
    <t>ConfirmedTW.ConfirmedRevenueOctoberDepartureExcludingFODepartureYear</t>
  </si>
  <si>
    <t>ConfirmedLW.ConfirmedBookingTotal</t>
  </si>
  <si>
    <t>ConfirmedLW.ConfirmedRevenueTotal</t>
  </si>
  <si>
    <t>ConfirmedLW.ConfirmedPAXCount</t>
  </si>
  <si>
    <t>ConfirmedLW.ConfirmedCommittedFlightSeatsCount</t>
  </si>
  <si>
    <t>ConfirmedLW.ConfirmedAdHocFlightSeatsCount</t>
  </si>
  <si>
    <t>ConfirmedLW.ConfirmedBookingTotalExcludingFO</t>
  </si>
  <si>
    <t>ConfirmedLW.ConfirmedRevenueTotalExcludingFO</t>
  </si>
  <si>
    <t>ConfirmedLW.ConfirmedBookingSalesCentreExcludingFO</t>
  </si>
  <si>
    <t>ConfirmedLW.ConfirmedBookingWebsiteExcludingFO</t>
  </si>
  <si>
    <t>ConfirmedLW.ConfirmedRevenueSalesCentreExcludingFO</t>
  </si>
  <si>
    <t>ConfirmedLW.ConfirmedRevenueWebsiteExcludingFO</t>
  </si>
  <si>
    <t>ConfirmedLW.ConfirmedBookingPastClientExcludingFO</t>
  </si>
  <si>
    <t>ConfirmedLW.ConfirmedBookingNewClientExcludingFO</t>
  </si>
  <si>
    <t>ConfirmedLW.ConfirmedBookingUKAgent</t>
  </si>
  <si>
    <t>ConfirmedLW.ConfirmedBookingOverseasAgent</t>
  </si>
  <si>
    <t>ConfirmedLW.ConfirmedBookingPreschoolSegmentExcludingFO</t>
  </si>
  <si>
    <t>ConfirmedLW.ConfirmedBookingYoungFamilySegmentExcludingFO</t>
  </si>
  <si>
    <t>ConfirmedLW.ConfirmedBookingOlderFamilySegmentExcludingFO</t>
  </si>
  <si>
    <t>ConfirmedLW.ConfirmedBookingYoungCoupleSegmentExcludingFO</t>
  </si>
  <si>
    <t>ConfirmedLW.ConfirmedBookingOlderCoupleSegmentExcludingFO</t>
  </si>
  <si>
    <t>ConfirmedLW.ConfirmedBookingAdultGroupSegmentExcludingFO</t>
  </si>
  <si>
    <t>ConfirmedLW.ConfirmedBookingOtherSegmentExcludingFO</t>
  </si>
  <si>
    <t>ConfirmedLW.ConfirmedBookingGreeceExcludingFO</t>
  </si>
  <si>
    <t>ConfirmedLW.ConfirmedBookingMallorcaExcludingFO</t>
  </si>
  <si>
    <t>ConfirmedLW.ConfirmedBookingItalyExcludingFO</t>
  </si>
  <si>
    <t>ConfirmedLW.ConfirmedBookingCorsicaExcludingFO</t>
  </si>
  <si>
    <t>ConfirmedLW.ConfirmedBookingTurkeyExcludingFO</t>
  </si>
  <si>
    <t>ConfirmedLW.ConfirmedBookingFranceExcludingAquitaineExcludingFO</t>
  </si>
  <si>
    <t>ConfirmedLW.ConfirmedBookingFranceExcludingFO</t>
  </si>
  <si>
    <t>ConfirmedLW.ConfirmedBookingMayDepartureExcludingFO</t>
  </si>
  <si>
    <t>ConfirmedLW.ConfirmedBookingJuneDepartureExcludingFO</t>
  </si>
  <si>
    <t>ConfirmedLW.ConfirmedBookingJulyDepartureExcludingFO</t>
  </si>
  <si>
    <t>ConfirmedLW.ConfirmedBookingAugustDepartureExcludingFO</t>
  </si>
  <si>
    <t>ConfirmedLW.ConfirmedBookingSeptemberDepartureExcludingFO</t>
  </si>
  <si>
    <t>ConfirmedLW.ConfirmedBookingOctoberDepartureExcludingFO</t>
  </si>
  <si>
    <t>ConfirmedLW.ConfirmedRevenuePastClientExcludingFO</t>
  </si>
  <si>
    <t>ConfirmedLW.ConfirmedRevenueNewClientExcludingFO</t>
  </si>
  <si>
    <t>ConfirmedLW.ConfirmedRevenueUKAgent</t>
  </si>
  <si>
    <t>ConfirmedLW.ConfirmedRevenueOverseasAgent</t>
  </si>
  <si>
    <t>ConfirmedLW.ConfirmedRevenuePreschoolSegmentExcludingFO</t>
  </si>
  <si>
    <t>ConfirmedLW.ConfirmedRevenueYoungFamilySegmentExcludingFO</t>
  </si>
  <si>
    <t>ConfirmedLW.ConfirmedRevenueOlderFamilySegmentExcludingFO</t>
  </si>
  <si>
    <t>ConfirmedLW.ConfirmedRevenueYoungCoupleSegmentExcludingFO</t>
  </si>
  <si>
    <t>ConfirmedLW.ConfirmedRevenueOlderCoupleSegmentExcludingFO</t>
  </si>
  <si>
    <t>ConfirmedLW.ConfirmedRevenueAdultGroupSegmentExcludingFO</t>
  </si>
  <si>
    <t>ConfirmedLW.ConfirmedRevenueOtherSegmentExcludingFO</t>
  </si>
  <si>
    <t>ConfirmedLW.ConfirmedRevenueGreeceExcludingFO</t>
  </si>
  <si>
    <t>ConfirmedLW.ConfirmedRevenueMallorcaExcludingFO</t>
  </si>
  <si>
    <t>ConfirmedLW.ConfirmedRevenueItalyExcludingFO</t>
  </si>
  <si>
    <t>ConfirmedLW.ConfirmedRevenueCorsicaExcludingFO</t>
  </si>
  <si>
    <t>ConfirmedLW.ConfirmedRevenueTurkeyExcludingFO</t>
  </si>
  <si>
    <t>ConfirmedLW.ConfirmedRevenueFranceExcludingAquitaineExcludingFO</t>
  </si>
  <si>
    <t>ConfirmedLW.ConfirmedRevenueFranceExcludingFO</t>
  </si>
  <si>
    <t>ConfirmedLW.ConfirmedRevenueMayDepartureExcludingFO</t>
  </si>
  <si>
    <t>ConfirmedLW.ConfirmedRevenueJuneDepartureExcludingFO</t>
  </si>
  <si>
    <t>ConfirmedLW.ConfirmedRevenueJulyDepartureExcludingFO</t>
  </si>
  <si>
    <t>ConfirmedLW.ConfirmedRevenueAugustDepartureExcludingFO</t>
  </si>
  <si>
    <t>ConfirmedLW.ConfirmedRevenueSeptemberDepartureExcludingFO</t>
  </si>
  <si>
    <t>ConfirmedLW.ConfirmedRevenueOctoberDepartureExcludingFO</t>
  </si>
  <si>
    <t>ConfirmedLW.ConfirmedBookingTotalDepartureYear</t>
  </si>
  <si>
    <t>ConfirmedLW.ConfirmedRevenueTotalDepartureYear</t>
  </si>
  <si>
    <t>ConfirmedLW.ConfirmedPAXCountDepartureYear</t>
  </si>
  <si>
    <t>ConfirmedLW.ConfirmedCommittedFlightSeatsCountDepartureYear</t>
  </si>
  <si>
    <t>ConfirmedLW.ConfirmedAdHocFlightSeatsCountDepartureYear</t>
  </si>
  <si>
    <t>ConfirmedLW.ConfirmedBookingTotalExcludingFODepartureYear</t>
  </si>
  <si>
    <t>ConfirmedLW.ConfirmedRevenueTotalExcludingFODepartureYear</t>
  </si>
  <si>
    <t>ConfirmedLW.ConfirmedBookingSalesCentreExcludingFODepartureYear</t>
  </si>
  <si>
    <t>ConfirmedLW.ConfirmedBookingWebsiteExcludingFODepartureYear</t>
  </si>
  <si>
    <t>ConfirmedLW.ConfirmedRevenueSalesCentreExcludingFODepartureYear</t>
  </si>
  <si>
    <t>ConfirmedLW.ConfirmedRevenueWebsiteExcludingFODepartureYear</t>
  </si>
  <si>
    <t>ConfirmedLW.ConfirmedBookingPastClientExcludingFODepartureYear</t>
  </si>
  <si>
    <t>ConfirmedLW.ConfirmedBookingNewClientExcludingFODepartureYear</t>
  </si>
  <si>
    <t>ConfirmedLW.ConfirmedBookingUKAgentDepartureYear</t>
  </si>
  <si>
    <t>ConfirmedLW.ConfirmedBookingOverseasAgentDepartureYear</t>
  </si>
  <si>
    <t>ConfirmedLW.ConfirmedBookingPreschoolSegmentExcludingFODepartureYear</t>
  </si>
  <si>
    <t>ConfirmedLW.ConfirmedBookingYoungFamilySegmentExcludingFODepartureYear</t>
  </si>
  <si>
    <t>ConfirmedLW.ConfirmedBookingOlderFamilySegmentExcludingFODepartureYear</t>
  </si>
  <si>
    <t>ConfirmedLW.ConfirmedBookingYoungCoupleSegmentExcludingFODepartureYear</t>
  </si>
  <si>
    <t>ConfirmedLW.ConfirmedBookingOlderCoupleSegmentExcludingFODepartureYear</t>
  </si>
  <si>
    <t>ConfirmedLW.ConfirmedBookingAdultGroupSegmentExcludingFODepartureYear</t>
  </si>
  <si>
    <t>ConfirmedLW.ConfirmedBookingOtherSegmentExcludingFODepartureYear</t>
  </si>
  <si>
    <t>ConfirmedLW.ConfirmedBookingGreeceExcludingFODepartureYear</t>
  </si>
  <si>
    <t>ConfirmedLW.ConfirmedBookingMallorcaExcludingFODepartureYear</t>
  </si>
  <si>
    <t>ConfirmedLW.ConfirmedBookingItalyExcludingFODepartureYear</t>
  </si>
  <si>
    <t>ConfirmedLW.ConfirmedBookingCorsicaExcludingFODepartureYear</t>
  </si>
  <si>
    <t>ConfirmedLW.ConfirmedBookingTurkeyExcludingFODepartureYear</t>
  </si>
  <si>
    <t>ConfirmedLW.ConfirmedBookingFranceExcludingAquitaineExcludingFODepartureYear</t>
  </si>
  <si>
    <t>ConfirmedLW.ConfirmedBookingFranceExcludingFODepartureYear</t>
  </si>
  <si>
    <t>ConfirmedLW.ConfirmedBookingMayDepartureExcludingFODepartureYear</t>
  </si>
  <si>
    <t>ConfirmedLW.ConfirmedBookingJuneDepartureExcludingFODepartureYear</t>
  </si>
  <si>
    <t>ConfirmedLW.ConfirmedBookingJulyDepartureExcludingFODepartureYear</t>
  </si>
  <si>
    <t>ConfirmedLW.ConfirmedBookingAugustDepartureExcludingFODepartureYear</t>
  </si>
  <si>
    <t>ConfirmedLW.ConfirmedBookingSeptemberDepartureExcludingFODepartureYear</t>
  </si>
  <si>
    <t>ConfirmedLW.ConfirmedBookingOctoberDepartureExcludingFODepartureYear</t>
  </si>
  <si>
    <t>ConfirmedLW.ConfirmedRevenuePastClientExcludingFODepartureYear</t>
  </si>
  <si>
    <t>ConfirmedLW.ConfirmedRevenueNewClientExcludingFODepartureYear</t>
  </si>
  <si>
    <t>ConfirmedLW.ConfirmedRevenueUKAgentDepartureYear</t>
  </si>
  <si>
    <t>ConfirmedLW.ConfirmedRevenueOverseasAgentDepartureYear</t>
  </si>
  <si>
    <t>ConfirmedLW.ConfirmedRevenuePreschoolSegmentExcludingFODepartureYear</t>
  </si>
  <si>
    <t>ConfirmedLW.ConfirmedRevenueYoungFamilySegmentExcludingFODepartureYear</t>
  </si>
  <si>
    <t>ConfirmedLW.ConfirmedRevenueOlderFamilySegmentExcludingFODepartureYear</t>
  </si>
  <si>
    <t>ConfirmedLW.ConfirmedRevenueYoungCoupleSegmentExcludingFODepartureYear</t>
  </si>
  <si>
    <t>ConfirmedLW.ConfirmedRevenueOlderCoupleSegmentExcludingFODepartureYear</t>
  </si>
  <si>
    <t>ConfirmedLW.ConfirmedRevenueAdultGroupSegmentExcludingFODepartureYear</t>
  </si>
  <si>
    <t>ConfirmedLW.ConfirmedRevenueOtherSegmentExcludingFODepartureYear</t>
  </si>
  <si>
    <t>ConfirmedLW.ConfirmedRevenueGreeceExcludingFODepartureYear</t>
  </si>
  <si>
    <t>ConfirmedLW.ConfirmedRevenueMallorcaExcludingFODepartureYear</t>
  </si>
  <si>
    <t>ConfirmedLW.ConfirmedRevenueItalyExcludingFODepartureYear</t>
  </si>
  <si>
    <t>ConfirmedLW.ConfirmedRevenueCorsicaExcludingFODepartureYear</t>
  </si>
  <si>
    <t>ConfirmedLW.ConfirmedRevenueTurkeyExcludingFODepartureYear</t>
  </si>
  <si>
    <t>ConfirmedLW.ConfirmedRevenueFranceExcludingAquitaineExcludingFODepartureYear</t>
  </si>
  <si>
    <t>ConfirmedLW.ConfirmedRevenueFranceExcludingFODepartureYear</t>
  </si>
  <si>
    <t>ConfirmedLW.ConfirmedRevenueMayDepartureExcludingFODepartureYear</t>
  </si>
  <si>
    <t>ConfirmedLW.ConfirmedRevenueJuneDepartureExcludingFODepartureYear</t>
  </si>
  <si>
    <t>ConfirmedLW.ConfirmedRevenueJulyDepartureExcludingFODepartureYear</t>
  </si>
  <si>
    <t>ConfirmedLW.ConfirmedRevenueAugustDepartureExcludingFODepartureYear</t>
  </si>
  <si>
    <t>ConfirmedLW.ConfirmedRevenueSeptemberDepartureExcludingFODepartureYear</t>
  </si>
  <si>
    <t>ConfirmedLW.ConfirmedRevenueOctoberDepartureExcludingFODepartureYear</t>
  </si>
  <si>
    <t>ConfirmedTWLY.ConfirmedBookingTotal</t>
  </si>
  <si>
    <t>ConfirmedTWLY.ConfirmedRevenueTotal</t>
  </si>
  <si>
    <t>ConfirmedTWLY.ConfirmedPAXCount</t>
  </si>
  <si>
    <t>ConfirmedTWLY.ConfirmedCommittedFlightSeatsCount</t>
  </si>
  <si>
    <t>ConfirmedTWLY.ConfirmedAdHocFlightSeatsCount</t>
  </si>
  <si>
    <t>ConfirmedTWLY.ConfirmedBookingTotalExcludingFO</t>
  </si>
  <si>
    <t>ConfirmedTWLY.ConfirmedRevenueTotalExcludingFO</t>
  </si>
  <si>
    <t>ConfirmedTWLY.ConfirmedBookingSalesCentreExcludingFO</t>
  </si>
  <si>
    <t>ConfirmedTWLY.ConfirmedBookingWebsiteExcludingFO</t>
  </si>
  <si>
    <t>ConfirmedTWLY.ConfirmedRevenueSalesCentreExcludingFO</t>
  </si>
  <si>
    <t>ConfirmedTWLY.ConfirmedRevenueWebsiteExcludingFO</t>
  </si>
  <si>
    <t>ConfirmedTWLY.ConfirmedBookingPastClientExcludingFO</t>
  </si>
  <si>
    <t>ConfirmedTWLY.ConfirmedBookingNewClientExcludingFO</t>
  </si>
  <si>
    <t>ConfirmedTWLY.ConfirmedBookingUKAgent</t>
  </si>
  <si>
    <t>ConfirmedTWLY.ConfirmedBookingOverseasAgent</t>
  </si>
  <si>
    <t>ConfirmedTWLY.ConfirmedBookingPreschoolSegmentExcludingFO</t>
  </si>
  <si>
    <t>ConfirmedTWLY.ConfirmedBookingYoungFamilySegmentExcludingFO</t>
  </si>
  <si>
    <t>ConfirmedTWLY.ConfirmedBookingOlderFamilySegmentExcludingFO</t>
  </si>
  <si>
    <t>ConfirmedTWLY.ConfirmedBookingYoungCoupleSegmentExcludingFO</t>
  </si>
  <si>
    <t>ConfirmedTWLY.ConfirmedBookingOlderCoupleSegmentExcludingFO</t>
  </si>
  <si>
    <t>ConfirmedTWLY.ConfirmedBookingAdultGroupSegmentExcludingFO</t>
  </si>
  <si>
    <t>ConfirmedTWLY.ConfirmedBookingOtherSegmentExcludingFO</t>
  </si>
  <si>
    <t>ConfirmedTWLY.ConfirmedBookingGreeceExcludingFO</t>
  </si>
  <si>
    <t>ConfirmedTWLY.ConfirmedBookingMallorcaExcludingFO</t>
  </si>
  <si>
    <t>ConfirmedTWLY.ConfirmedBookingItalyExcludingFO</t>
  </si>
  <si>
    <t>ConfirmedTWLY.ConfirmedBookingCorsicaExcludingFO</t>
  </si>
  <si>
    <t>ConfirmedTWLY.ConfirmedBookingTurkeyExcludingFO</t>
  </si>
  <si>
    <t>ConfirmedTWLY.ConfirmedBookingFranceExcludingAquitaineExcludingFO</t>
  </si>
  <si>
    <t>ConfirmedTWLY.ConfirmedBookingFranceExcludingFO</t>
  </si>
  <si>
    <t>ConfirmedTWLY.ConfirmedBookingMayDepartureExcludingFO</t>
  </si>
  <si>
    <t>ConfirmedTWLY.ConfirmedBookingJuneDepartureExcludingFO</t>
  </si>
  <si>
    <t>ConfirmedTWLY.ConfirmedBookingJulyDepartureExcludingFO</t>
  </si>
  <si>
    <t>ConfirmedTWLY.ConfirmedBookingAugustDepartureExcludingFO</t>
  </si>
  <si>
    <t>ConfirmedTWLY.ConfirmedBookingSeptemberDepartureExcludingFO</t>
  </si>
  <si>
    <t>ConfirmedTWLY.ConfirmedBookingOctoberDepartureExcludingFO</t>
  </si>
  <si>
    <t>ConfirmedTWLY.ConfirmedRevenuePastClientExcludingFO</t>
  </si>
  <si>
    <t>ConfirmedTWLY.ConfirmedRevenueNewClientExcludingFO</t>
  </si>
  <si>
    <t>ConfirmedTWLY.ConfirmedRevenueUKAgent</t>
  </si>
  <si>
    <t>ConfirmedTWLY.ConfirmedRevenueOverseasAgent</t>
  </si>
  <si>
    <t>ConfirmedTWLY.ConfirmedRevenuePreschoolSegmentExcludingFO</t>
  </si>
  <si>
    <t>ConfirmedTWLY.ConfirmedRevenueYoungFamilySegmentExcludingFO</t>
  </si>
  <si>
    <t>ConfirmedTWLY.ConfirmedRevenueOlderFamilySegmentExcludingFO</t>
  </si>
  <si>
    <t>ConfirmedTWLY.ConfirmedRevenueYoungCoupleSegmentExcludingFO</t>
  </si>
  <si>
    <t>ConfirmedTWLY.ConfirmedRevenueOlderCoupleSegmentExcludingFO</t>
  </si>
  <si>
    <t>ConfirmedTWLY.ConfirmedRevenueAdultGroupSegmentExcludingFO</t>
  </si>
  <si>
    <t>ConfirmedTWLY.ConfirmedRevenueOtherSegmentExcludingFO</t>
  </si>
  <si>
    <t>ConfirmedTWLY.ConfirmedRevenueGreeceExcludingFO</t>
  </si>
  <si>
    <t>ConfirmedTWLY.ConfirmedRevenueMallorcaExcludingFO</t>
  </si>
  <si>
    <t>ConfirmedTWLY.ConfirmedRevenueItalyExcludingFO</t>
  </si>
  <si>
    <t>ConfirmedTWLY.ConfirmedRevenueCorsicaExcludingFO</t>
  </si>
  <si>
    <t>ConfirmedTWLY.ConfirmedRevenueTurkeyExcludingFO</t>
  </si>
  <si>
    <t>ConfirmedTWLY.ConfirmedRevenueFranceExcludingAquitaineExcludingFO</t>
  </si>
  <si>
    <t>ConfirmedTWLY.ConfirmedRevenueFranceExcludingFO</t>
  </si>
  <si>
    <t>ConfirmedTWLY.ConfirmedRevenueMayDepartureExcludingFO</t>
  </si>
  <si>
    <t>ConfirmedTWLY.ConfirmedRevenueJuneDepartureExcludingFO</t>
  </si>
  <si>
    <t>ConfirmedTWLY.ConfirmedRevenueJulyDepartureExcludingFO</t>
  </si>
  <si>
    <t>ConfirmedTWLY.ConfirmedRevenueAugustDepartureExcludingFO</t>
  </si>
  <si>
    <t>ConfirmedTWLY.ConfirmedRevenueSeptemberDepartureExcludingFO</t>
  </si>
  <si>
    <t>ConfirmedTWLY.ConfirmedRevenueOctoberDepartureExcludingFO</t>
  </si>
  <si>
    <t>ConfirmedTWLY.ConfirmedBookingTotalDepartureYear</t>
  </si>
  <si>
    <t>ConfirmedTWLY.ConfirmedRevenueTotalDepartureYear</t>
  </si>
  <si>
    <t>ConfirmedTWLY.ConfirmedPAXCountDepartureYear</t>
  </si>
  <si>
    <t>ConfirmedTWLY.ConfirmedCommittedFlightSeatsCountDepartureYear</t>
  </si>
  <si>
    <t>ConfirmedTWLY.ConfirmedAdHocFlightSeatsCountDepartureYear</t>
  </si>
  <si>
    <t>ConfirmedTWLY.ConfirmedBookingTotalExcludingFODepartureYear</t>
  </si>
  <si>
    <t>ConfirmedTWLY.ConfirmedRevenueTotalExcludingFODepartureYear</t>
  </si>
  <si>
    <t>ConfirmedTWLY.ConfirmedBookingSalesCentreExcludingFODepartureYear</t>
  </si>
  <si>
    <t>ConfirmedTWLY.ConfirmedBookingWebsiteExcludingFODepartureYear</t>
  </si>
  <si>
    <t>ConfirmedTWLY.ConfirmedRevenueSalesCentreExcludingFODepartureYear</t>
  </si>
  <si>
    <t>ConfirmedTWLY.ConfirmedRevenueWebsiteExcludingFODepartureYear</t>
  </si>
  <si>
    <t>ConfirmedTWLY.ConfirmedBookingPastClientExcludingFODepartureYear</t>
  </si>
  <si>
    <t>ConfirmedTWLY.ConfirmedBookingNewClientExcludingFODepartureYear</t>
  </si>
  <si>
    <t>ConfirmedTWLY.ConfirmedBookingUKAgentDepartureYear</t>
  </si>
  <si>
    <t>ConfirmedTWLY.ConfirmedBookingOverseasAgentDepartureYear</t>
  </si>
  <si>
    <t>ConfirmedTWLY.ConfirmedBookingPreschoolSegmentExcludingFODepartureYear</t>
  </si>
  <si>
    <t>ConfirmedTWLY.ConfirmedBookingYoungFamilySegmentExcludingFODepartureYear</t>
  </si>
  <si>
    <t>ConfirmedTWLY.ConfirmedBookingOlderFamilySegmentExcludingFODepartureYear</t>
  </si>
  <si>
    <t>ConfirmedTWLY.ConfirmedBookingYoungCoupleSegmentExcludingFODepartureYear</t>
  </si>
  <si>
    <t>ConfirmedTWLY.ConfirmedBookingOlderCoupleSegmentExcludingFODepartureYear</t>
  </si>
  <si>
    <t>ConfirmedTWLY.ConfirmedBookingAdultGroupSegmentExcludingFODepartureYear</t>
  </si>
  <si>
    <t>ConfirmedTWLY.ConfirmedBookingOtherSegmentExcludingFODepartureYear</t>
  </si>
  <si>
    <t>ConfirmedTWLY.ConfirmedBookingGreeceExcludingFODepartureYear</t>
  </si>
  <si>
    <t>ConfirmedTWLY.ConfirmedBookingMallorcaExcludingFODepartureYear</t>
  </si>
  <si>
    <t>ConfirmedTWLY.ConfirmedBookingItalyExcludingFODepartureYear</t>
  </si>
  <si>
    <t>ConfirmedTWLY.ConfirmedBookingCorsicaExcludingFODepartureYear</t>
  </si>
  <si>
    <t>ConfirmedTWLY.ConfirmedBookingTurkeyExcludingFODepartureYear</t>
  </si>
  <si>
    <t>ConfirmedTWLY.ConfirmedBookingFranceExcludingAquitaineExcludingFODepartureYear</t>
  </si>
  <si>
    <t>ConfirmedTWLY.ConfirmedBookingFranceExcludingFODepartureYear</t>
  </si>
  <si>
    <t>ConfirmedTWLY.ConfirmedBookingMayDepartureExcludingFODepartureYear</t>
  </si>
  <si>
    <t>ConfirmedTWLY.ConfirmedBookingJuneDepartureExcludingFODepartureYear</t>
  </si>
  <si>
    <t>ConfirmedTWLY.ConfirmedBookingJulyDepartureExcludingFODepartureYear</t>
  </si>
  <si>
    <t>ConfirmedTWLY.ConfirmedBookingAugustDepartureExcludingFODepartureYear</t>
  </si>
  <si>
    <t>ConfirmedTWLY.ConfirmedBookingSeptemberDepartureExcludingFODepartureYear</t>
  </si>
  <si>
    <t>ConfirmedTWLY.ConfirmedBookingOctoberDepartureExcludingFODepartureYear</t>
  </si>
  <si>
    <t>ConfirmedTWLY.ConfirmedRevenuePastClientExcludingFODepartureYear</t>
  </si>
  <si>
    <t>ConfirmedTWLY.ConfirmedRevenueNewClientExcludingFODepartureYear</t>
  </si>
  <si>
    <t>ConfirmedTWLY.ConfirmedRevenueUKAgentDepartureYear</t>
  </si>
  <si>
    <t>ConfirmedTWLY.ConfirmedRevenueOverseasAgentDepartureYear</t>
  </si>
  <si>
    <t>ConfirmedTWLY.ConfirmedRevenuePreschoolSegmentExcludingFODepartureYear</t>
  </si>
  <si>
    <t>ConfirmedTWLY.ConfirmedRevenueYoungFamilySegmentExcludingFODepartureYear</t>
  </si>
  <si>
    <t>ConfirmedTWLY.ConfirmedRevenueOlderFamilySegmentExcludingFODepartureYear</t>
  </si>
  <si>
    <t>ConfirmedTWLY.ConfirmedRevenueYoungCoupleSegmentExcludingFODepartureYear</t>
  </si>
  <si>
    <t>ConfirmedTWLY.ConfirmedRevenueOlderCoupleSegmentExcludingFODepartureYear</t>
  </si>
  <si>
    <t>ConfirmedTWLY.ConfirmedRevenueAdultGroupSegmentExcludingFODepartureYear</t>
  </si>
  <si>
    <t>ConfirmedTWLY.ConfirmedRevenueOtherSegmentExcludingFODepartureYear</t>
  </si>
  <si>
    <t>ConfirmedTWLY.ConfirmedRevenueGreeceExcludingFODepartureYear</t>
  </si>
  <si>
    <t>ConfirmedTWLY.ConfirmedRevenueMallorcaExcludingFODepartureYear</t>
  </si>
  <si>
    <t>ConfirmedTWLY.ConfirmedRevenueItalyExcludingFODepartureYear</t>
  </si>
  <si>
    <t>ConfirmedTWLY.ConfirmedRevenueCorsicaExcludingFODepartureYear</t>
  </si>
  <si>
    <t>ConfirmedTWLY.ConfirmedRevenueTurkeyExcludingFODepartureYear</t>
  </si>
  <si>
    <t>ConfirmedTWLY.ConfirmedRevenueFranceExcludingAquitaineExcludingFODepartureYear</t>
  </si>
  <si>
    <t>ConfirmedTWLY.ConfirmedRevenueFranceExcludingFODepartureYear</t>
  </si>
  <si>
    <t>ConfirmedTWLY.ConfirmedRevenueMayDepartureExcludingFODepartureYear</t>
  </si>
  <si>
    <t>ConfirmedTWLY.ConfirmedRevenueJuneDepartureExcludingFODepartureYear</t>
  </si>
  <si>
    <t>ConfirmedTWLY.ConfirmedRevenueJulyDepartureExcludingFODepartureYear</t>
  </si>
  <si>
    <t>ConfirmedTWLY.ConfirmedRevenueAugustDepartureExcludingFODepartureYear</t>
  </si>
  <si>
    <t>ConfirmedTWLY.ConfirmedRevenueSeptemberDepartureExcludingFODepartureYear</t>
  </si>
  <si>
    <t>ConfirmedTWLY.ConfirmedRevenueOctoberDepartureExcludingFODepartureYear</t>
  </si>
  <si>
    <t>ConfirmedTM.ConfirmedBookingTotal</t>
  </si>
  <si>
    <t>ConfirmedTM.ConfirmedRevenueTotal</t>
  </si>
  <si>
    <t>ConfirmedTM.ConfirmedPAXCount</t>
  </si>
  <si>
    <t>ConfirmedTM.ConfirmedCommittedFlightSeatsCount</t>
  </si>
  <si>
    <t>ConfirmedTM.ConfirmedAdHocFlightSeatsCount</t>
  </si>
  <si>
    <t>ConfirmedTM.ConfirmedBookingTotalExcludingFO</t>
  </si>
  <si>
    <t>ConfirmedTM.ConfirmedRevenueTotalExcludingFO</t>
  </si>
  <si>
    <t>ConfirmedTM.ConfirmedBookingSalesCentreExcludingFO</t>
  </si>
  <si>
    <t>ConfirmedTM.ConfirmedBookingWebsiteExcludingFO</t>
  </si>
  <si>
    <t>ConfirmedTM.ConfirmedRevenueSalesCentreExcludingFO</t>
  </si>
  <si>
    <t>ConfirmedTM.ConfirmedRevenueWebsiteExcludingFO</t>
  </si>
  <si>
    <t>ConfirmedTM.ConfirmedBookingPastClientExcludingFO</t>
  </si>
  <si>
    <t>ConfirmedTM.ConfirmedBookingNewClientExcludingFO</t>
  </si>
  <si>
    <t>ConfirmedTM.ConfirmedBookingUKAgent</t>
  </si>
  <si>
    <t>ConfirmedTM.ConfirmedBookingOverseasAgent</t>
  </si>
  <si>
    <t>ConfirmedTM.ConfirmedBookingPreschoolSegmentExcludingFO</t>
  </si>
  <si>
    <t>ConfirmedTM.ConfirmedBookingYoungFamilySegmentExcludingFO</t>
  </si>
  <si>
    <t>ConfirmedTM.ConfirmedBookingOlderFamilySegmentExcludingFO</t>
  </si>
  <si>
    <t>ConfirmedTM.ConfirmedBookingYoungCoupleSegmentExcludingFO</t>
  </si>
  <si>
    <t>ConfirmedTM.ConfirmedBookingOlderCoupleSegmentExcludingFO</t>
  </si>
  <si>
    <t>ConfirmedTM.ConfirmedBookingAdultGroupSegmentExcludingFO</t>
  </si>
  <si>
    <t>ConfirmedTM.ConfirmedBookingOtherSegmentExcludingFO</t>
  </si>
  <si>
    <t>ConfirmedTM.ConfirmedBookingGreeceExcludingFO</t>
  </si>
  <si>
    <t>ConfirmedTM.ConfirmedBookingMallorcaExcludingFO</t>
  </si>
  <si>
    <t>ConfirmedTM.ConfirmedBookingItalyExcludingFO</t>
  </si>
  <si>
    <t>ConfirmedTM.ConfirmedBookingCorsicaExcludingFO</t>
  </si>
  <si>
    <t>ConfirmedTM.ConfirmedBookingTurkeyExcludingFO</t>
  </si>
  <si>
    <t>ConfirmedTM.ConfirmedBookingFranceExcludingAquitaineExcludingFO</t>
  </si>
  <si>
    <t>ConfirmedTM.ConfirmedBookingFranceExcludingFO</t>
  </si>
  <si>
    <t>ConfirmedTM.ConfirmedBookingMayDepartureExcludingFO</t>
  </si>
  <si>
    <t>ConfirmedTM.ConfirmedBookingJuneDepartureExcludingFO</t>
  </si>
  <si>
    <t>ConfirmedTM.ConfirmedBookingJulyDepartureExcludingFO</t>
  </si>
  <si>
    <t>ConfirmedTM.ConfirmedBookingAugustDepartureExcludingFO</t>
  </si>
  <si>
    <t>ConfirmedTM.ConfirmedBookingSeptemberDepartureExcludingFO</t>
  </si>
  <si>
    <t>ConfirmedTM.ConfirmedBookingOctoberDepartureExcludingFO</t>
  </si>
  <si>
    <t>ConfirmedTM.ConfirmedRevenuePastClientExcludingFO</t>
  </si>
  <si>
    <t>ConfirmedTM.ConfirmedRevenueNewClientExcludingFO</t>
  </si>
  <si>
    <t>ConfirmedTM.ConfirmedRevenueUKAgent</t>
  </si>
  <si>
    <t>ConfirmedTM.ConfirmedRevenueOverseasAgent</t>
  </si>
  <si>
    <t>ConfirmedTM.ConfirmedRevenuePreschoolSegmentExcludingFO</t>
  </si>
  <si>
    <t>ConfirmedTM.ConfirmedRevenueYoungFamilySegmentExcludingFO</t>
  </si>
  <si>
    <t>ConfirmedTM.ConfirmedRevenueOlderFamilySegmentExcludingFO</t>
  </si>
  <si>
    <t>ConfirmedTM.ConfirmedRevenueYoungCoupleSegmentExcludingFO</t>
  </si>
  <si>
    <t>ConfirmedTM.ConfirmedRevenueOlderCoupleSegmentExcludingFO</t>
  </si>
  <si>
    <t>ConfirmedTM.ConfirmedRevenueAdultGroupSegmentExcludingFO</t>
  </si>
  <si>
    <t>ConfirmedTM.ConfirmedRevenueOtherSegmentExcludingFO</t>
  </si>
  <si>
    <t>ConfirmedTM.ConfirmedRevenueGreeceExcludingFO</t>
  </si>
  <si>
    <t>ConfirmedTM.ConfirmedRevenueMallorcaExcludingFO</t>
  </si>
  <si>
    <t>ConfirmedTM.ConfirmedRevenueItalyExcludingFO</t>
  </si>
  <si>
    <t>ConfirmedTM.ConfirmedRevenueCorsicaExcludingFO</t>
  </si>
  <si>
    <t>ConfirmedTM.ConfirmedRevenueTurkeyExcludingFO</t>
  </si>
  <si>
    <t>ConfirmedTM.ConfirmedRevenueFranceExcludingAquitaineExcludingFO</t>
  </si>
  <si>
    <t>ConfirmedTM.ConfirmedRevenueFranceExcludingFO</t>
  </si>
  <si>
    <t>ConfirmedTM.ConfirmedRevenueMayDepartureExcludingFO</t>
  </si>
  <si>
    <t>ConfirmedTM.ConfirmedRevenueJuneDepartureExcludingFO</t>
  </si>
  <si>
    <t>ConfirmedTM.ConfirmedRevenueJulyDepartureExcludingFO</t>
  </si>
  <si>
    <t>ConfirmedTM.ConfirmedRevenueAugustDepartureExcludingFO</t>
  </si>
  <si>
    <t>ConfirmedTM.ConfirmedRevenueSeptemberDepartureExcludingFO</t>
  </si>
  <si>
    <t>ConfirmedTM.ConfirmedRevenueOctoberDepartureExcludingFO</t>
  </si>
  <si>
    <t>ConfirmedTM.ConfirmedBookingTotalDepartureYear</t>
  </si>
  <si>
    <t>ConfirmedTM.ConfirmedRevenueTotalDepartureYear</t>
  </si>
  <si>
    <t>ConfirmedTM.ConfirmedPAXCountDepartureYear</t>
  </si>
  <si>
    <t>ConfirmedTM.ConfirmedCommittedFlightSeatsCountDepartureYear</t>
  </si>
  <si>
    <t>ConfirmedTM.ConfirmedAdHocFlightSeatsCountDepartureYear</t>
  </si>
  <si>
    <t>ConfirmedTM.ConfirmedBookingTotalExcludingFODepartureYear</t>
  </si>
  <si>
    <t>ConfirmedTM.ConfirmedRevenueTotalExcludingFODepartureYear</t>
  </si>
  <si>
    <t>ConfirmedTM.ConfirmedBookingSalesCentreExcludingFODepartureYear</t>
  </si>
  <si>
    <t>ConfirmedTM.ConfirmedBookingWebsiteExcludingFODepartureYear</t>
  </si>
  <si>
    <t>ConfirmedTM.ConfirmedRevenueSalesCentreExcludingFODepartureYear</t>
  </si>
  <si>
    <t>ConfirmedTM.ConfirmedRevenueWebsiteExcludingFODepartureYear</t>
  </si>
  <si>
    <t>ConfirmedTM.ConfirmedBookingPastClientExcludingFODepartureYear</t>
  </si>
  <si>
    <t>ConfirmedTM.ConfirmedBookingNewClientExcludingFODepartureYear</t>
  </si>
  <si>
    <t>ConfirmedTM.ConfirmedBookingUKAgentDepartureYear</t>
  </si>
  <si>
    <t>ConfirmedTM.ConfirmedBookingOverseasAgentDepartureYear</t>
  </si>
  <si>
    <t>ConfirmedTM.ConfirmedBookingPreschoolSegmentExcludingFODepartureYear</t>
  </si>
  <si>
    <t>ConfirmedTM.ConfirmedBookingYoungFamilySegmentExcludingFODepartureYear</t>
  </si>
  <si>
    <t>ConfirmedTM.ConfirmedBookingOlderFamilySegmentExcludingFODepartureYear</t>
  </si>
  <si>
    <t>ConfirmedTM.ConfirmedBookingYoungCoupleSegmentExcludingFODepartureYear</t>
  </si>
  <si>
    <t>ConfirmedTM.ConfirmedBookingOlderCoupleSegmentExcludingFODepartureYear</t>
  </si>
  <si>
    <t>ConfirmedTM.ConfirmedBookingAdultGroupSegmentExcludingFODepartureYear</t>
  </si>
  <si>
    <t>ConfirmedTM.ConfirmedBookingOtherSegmentExcludingFODepartureYear</t>
  </si>
  <si>
    <t>ConfirmedTM.ConfirmedBookingGreeceExcludingFODepartureYear</t>
  </si>
  <si>
    <t>ConfirmedTM.ConfirmedBookingMallorcaExcludingFODepartureYear</t>
  </si>
  <si>
    <t>ConfirmedTM.ConfirmedBookingItalyExcludingFODepartureYear</t>
  </si>
  <si>
    <t>ConfirmedTM.ConfirmedBookingCorsicaExcludingFODepartureYear</t>
  </si>
  <si>
    <t>ConfirmedTM.ConfirmedBookingTurkeyExcludingFODepartureYear</t>
  </si>
  <si>
    <t>ConfirmedTM.ConfirmedBookingFranceExcludingAquitaineExcludingFODepartureYear</t>
  </si>
  <si>
    <t>ConfirmedTM.ConfirmedBookingFranceExcludingFODepartureYear</t>
  </si>
  <si>
    <t>ConfirmedTM.ConfirmedBookingMayDepartureExcludingFODepartureYear</t>
  </si>
  <si>
    <t>ConfirmedTM.ConfirmedBookingJuneDepartureExcludingFODepartureYear</t>
  </si>
  <si>
    <t>ConfirmedTM.ConfirmedBookingJulyDepartureExcludingFODepartureYear</t>
  </si>
  <si>
    <t>ConfirmedTM.ConfirmedBookingAugustDepartureExcludingFODepartureYear</t>
  </si>
  <si>
    <t>ConfirmedTM.ConfirmedBookingSeptemberDepartureExcludingFODepartureYear</t>
  </si>
  <si>
    <t>ConfirmedTM.ConfirmedBookingOctoberDepartureExcludingFODepartureYear</t>
  </si>
  <si>
    <t>ConfirmedTM.ConfirmedRevenuePastClientExcludingFODepartureYear</t>
  </si>
  <si>
    <t>ConfirmedTM.ConfirmedRevenueNewClientExcludingFODepartureYear</t>
  </si>
  <si>
    <t>ConfirmedTM.ConfirmedRevenueUKAgentDepartureYear</t>
  </si>
  <si>
    <t>ConfirmedTM.ConfirmedRevenueOverseasAgentDepartureYear</t>
  </si>
  <si>
    <t>ConfirmedTM.ConfirmedRevenuePreschoolSegmentExcludingFODepartureYear</t>
  </si>
  <si>
    <t>ConfirmedTM.ConfirmedRevenueYoungFamilySegmentExcludingFODepartureYear</t>
  </si>
  <si>
    <t>ConfirmedTM.ConfirmedRevenueOlderFamilySegmentExcludingFODepartureYear</t>
  </si>
  <si>
    <t>ConfirmedTM.ConfirmedRevenueYoungCoupleSegmentExcludingFODepartureYear</t>
  </si>
  <si>
    <t>ConfirmedTM.ConfirmedRevenueOlderCoupleSegmentExcludingFODepartureYear</t>
  </si>
  <si>
    <t>ConfirmedTM.ConfirmedRevenueAdultGroupSegmentExcludingFODepartureYear</t>
  </si>
  <si>
    <t>ConfirmedTM.ConfirmedRevenueOtherSegmentExcludingFODepartureYear</t>
  </si>
  <si>
    <t>ConfirmedTM.ConfirmedRevenueGreeceExcludingFODepartureYear</t>
  </si>
  <si>
    <t>ConfirmedTM.ConfirmedRevenueMallorcaExcludingFODepartureYear</t>
  </si>
  <si>
    <t>ConfirmedTM.ConfirmedRevenueItalyExcludingFODepartureYear</t>
  </si>
  <si>
    <t>ConfirmedTM.ConfirmedRevenueCorsicaExcludingFODepartureYear</t>
  </si>
  <si>
    <t>ConfirmedTM.ConfirmedRevenueTurkeyExcludingFODepartureYear</t>
  </si>
  <si>
    <t>ConfirmedTM.ConfirmedRevenueFranceExcludingAquitaineExcludingFODepartureYear</t>
  </si>
  <si>
    <t>ConfirmedTM.ConfirmedRevenueFranceExcludingFODepartureYear</t>
  </si>
  <si>
    <t>ConfirmedTM.ConfirmedRevenueMayDepartureExcludingFODepartureYear</t>
  </si>
  <si>
    <t>ConfirmedTM.ConfirmedRevenueJuneDepartureExcludingFODepartureYear</t>
  </si>
  <si>
    <t>ConfirmedTM.ConfirmedRevenueJulyDepartureExcludingFODepartureYear</t>
  </si>
  <si>
    <t>ConfirmedTM.ConfirmedRevenueAugustDepartureExcludingFODepartureYear</t>
  </si>
  <si>
    <t>ConfirmedTM.ConfirmedRevenueSeptemberDepartureExcludingFODepartureYear</t>
  </si>
  <si>
    <t>ConfirmedTM.ConfirmedRevenueOctoberDepartureExcludingFODepartureYear</t>
  </si>
  <si>
    <t>ConfirmedTMLY.ConfirmedBookingTotal</t>
  </si>
  <si>
    <t>ConfirmedTMLY.ConfirmedRevenueTotal</t>
  </si>
  <si>
    <t>ConfirmedTMLY.ConfirmedPAXCount</t>
  </si>
  <si>
    <t>ConfirmedTMLY.ConfirmedCommittedFlightSeatsCount</t>
  </si>
  <si>
    <t>ConfirmedTMLY.ConfirmedAdHocFlightSeatsCount</t>
  </si>
  <si>
    <t>ConfirmedTMLY.ConfirmedBookingTotalExcludingFO</t>
  </si>
  <si>
    <t>ConfirmedTMLY.ConfirmedRevenueTotalExcludingFO</t>
  </si>
  <si>
    <t>ConfirmedTMLY.ConfirmedBookingSalesCentreExcludingFO</t>
  </si>
  <si>
    <t>ConfirmedTMLY.ConfirmedBookingWebsiteExcludingFO</t>
  </si>
  <si>
    <t>ConfirmedTMLY.ConfirmedRevenueSalesCentreExcludingFO</t>
  </si>
  <si>
    <t>ConfirmedTMLY.ConfirmedRevenueWebsiteExcludingFO</t>
  </si>
  <si>
    <t>ConfirmedTMLY.ConfirmedBookingPastClientExcludingFO</t>
  </si>
  <si>
    <t>ConfirmedTMLY.ConfirmedBookingNewClientExcludingFO</t>
  </si>
  <si>
    <t>ConfirmedTMLY.ConfirmedBookingUKAgent</t>
  </si>
  <si>
    <t>ConfirmedTMLY.ConfirmedBookingOverseasAgent</t>
  </si>
  <si>
    <t>ConfirmedTMLY.ConfirmedBookingPreschoolSegmentExcludingFO</t>
  </si>
  <si>
    <t>ConfirmedTMLY.ConfirmedBookingYoungFamilySegmentExcludingFO</t>
  </si>
  <si>
    <t>ConfirmedTMLY.ConfirmedBookingOlderFamilySegmentExcludingFO</t>
  </si>
  <si>
    <t>ConfirmedTMLY.ConfirmedBookingYoungCoupleSegmentExcludingFO</t>
  </si>
  <si>
    <t>ConfirmedTMLY.ConfirmedBookingOlderCoupleSegmentExcludingFO</t>
  </si>
  <si>
    <t>ConfirmedTMLY.ConfirmedBookingAdultGroupSegmentExcludingFO</t>
  </si>
  <si>
    <t>ConfirmedTMLY.ConfirmedBookingOtherSegmentExcludingFO</t>
  </si>
  <si>
    <t>ConfirmedTMLY.ConfirmedBookingGreeceExcludingFO</t>
  </si>
  <si>
    <t>ConfirmedTMLY.ConfirmedBookingMallorcaExcludingFO</t>
  </si>
  <si>
    <t>ConfirmedTMLY.ConfirmedBookingItalyExcludingFO</t>
  </si>
  <si>
    <t>ConfirmedTMLY.ConfirmedBookingCorsicaExcludingFO</t>
  </si>
  <si>
    <t>ConfirmedTMLY.ConfirmedBookingTurkeyExcludingFO</t>
  </si>
  <si>
    <t>ConfirmedTMLY.ConfirmedBookingFranceExcludingAquitaineExcludingFO</t>
  </si>
  <si>
    <t>ConfirmedTMLY.ConfirmedBookingFranceExcludingFO</t>
  </si>
  <si>
    <t>ConfirmedTMLY.ConfirmedBookingMayDepartureExcludingFO</t>
  </si>
  <si>
    <t>ConfirmedTMLY.ConfirmedBookingJuneDepartureExcludingFO</t>
  </si>
  <si>
    <t>ConfirmedTMLY.ConfirmedBookingJulyDepartureExcludingFO</t>
  </si>
  <si>
    <t>ConfirmedTMLY.ConfirmedBookingAugustDepartureExcludingFO</t>
  </si>
  <si>
    <t>ConfirmedTMLY.ConfirmedBookingSeptemberDepartureExcludingFO</t>
  </si>
  <si>
    <t>ConfirmedTMLY.ConfirmedBookingOctoberDepartureExcludingFO</t>
  </si>
  <si>
    <t>ConfirmedTMLY.ConfirmedRevenuePastClientExcludingFO</t>
  </si>
  <si>
    <t>ConfirmedTMLY.ConfirmedRevenueNewClientExcludingFO</t>
  </si>
  <si>
    <t>ConfirmedTMLY.ConfirmedRevenueUKAgent</t>
  </si>
  <si>
    <t>ConfirmedTMLY.ConfirmedRevenueOverseasAgent</t>
  </si>
  <si>
    <t>ConfirmedTMLY.ConfirmedRevenuePreschoolSegmentExcludingFO</t>
  </si>
  <si>
    <t>ConfirmedTMLY.ConfirmedRevenueYoungFamilySegmentExcludingFO</t>
  </si>
  <si>
    <t>ConfirmedTMLY.ConfirmedRevenueOlderFamilySegmentExcludingFO</t>
  </si>
  <si>
    <t>ConfirmedTMLY.ConfirmedRevenueYoungCoupleSegmentExcludingFO</t>
  </si>
  <si>
    <t>ConfirmedTMLY.ConfirmedRevenueOlderCoupleSegmentExcludingFO</t>
  </si>
  <si>
    <t>ConfirmedTMLY.ConfirmedRevenueAdultGroupSegmentExcludingFO</t>
  </si>
  <si>
    <t>ConfirmedTMLY.ConfirmedRevenueOtherSegmentExcludingFO</t>
  </si>
  <si>
    <t>ConfirmedTMLY.ConfirmedRevenueGreeceExcludingFO</t>
  </si>
  <si>
    <t>ConfirmedTMLY.ConfirmedRevenueMallorcaExcludingFO</t>
  </si>
  <si>
    <t>ConfirmedTMLY.ConfirmedRevenueItalyExcludingFO</t>
  </si>
  <si>
    <t>ConfirmedTMLY.ConfirmedRevenueCorsicaExcludingFO</t>
  </si>
  <si>
    <t>ConfirmedTMLY.ConfirmedRevenueTurkeyExcludingFO</t>
  </si>
  <si>
    <t>ConfirmedTMLY.ConfirmedRevenueFranceExcludingAquitaineExcludingFO</t>
  </si>
  <si>
    <t>ConfirmedTMLY.ConfirmedRevenueFranceExcludingFO</t>
  </si>
  <si>
    <t>ConfirmedTMLY.ConfirmedRevenueMayDepartureExcludingFO</t>
  </si>
  <si>
    <t>ConfirmedTMLY.ConfirmedRevenueJuneDepartureExcludingFO</t>
  </si>
  <si>
    <t>ConfirmedTMLY.ConfirmedRevenueJulyDepartureExcludingFO</t>
  </si>
  <si>
    <t>ConfirmedTMLY.ConfirmedRevenueAugustDepartureExcludingFO</t>
  </si>
  <si>
    <t>ConfirmedTMLY.ConfirmedRevenueSeptemberDepartureExcludingFO</t>
  </si>
  <si>
    <t>ConfirmedTMLY.ConfirmedRevenueOctoberDepartureExcludingFO</t>
  </si>
  <si>
    <t>ConfirmedTMLY.ConfirmedBookingTotalDepartureYear</t>
  </si>
  <si>
    <t>ConfirmedTMLY.ConfirmedRevenueTotalDepartureYear</t>
  </si>
  <si>
    <t>ConfirmedTMLY.ConfirmedPAXCountDepartureYear</t>
  </si>
  <si>
    <t>ConfirmedTMLY.ConfirmedCommittedFlightSeatsCountDepartureYear</t>
  </si>
  <si>
    <t>ConfirmedTMLY.ConfirmedAdHocFlightSeatsCountDepartureYear</t>
  </si>
  <si>
    <t>ConfirmedTMLY.ConfirmedBookingTotalExcludingFODepartureYear</t>
  </si>
  <si>
    <t>ConfirmedTMLY.ConfirmedRevenueTotalExcludingFODepartureYear</t>
  </si>
  <si>
    <t>ConfirmedTMLY.ConfirmedBookingSalesCentreExcludingFODepartureYear</t>
  </si>
  <si>
    <t>ConfirmedTMLY.ConfirmedBookingWebsiteExcludingFODepartureYear</t>
  </si>
  <si>
    <t>ConfirmedTMLY.ConfirmedRevenueSalesCentreExcludingFODepartureYear</t>
  </si>
  <si>
    <t>ConfirmedTMLY.ConfirmedRevenueWebsiteExcludingFODepartureYear</t>
  </si>
  <si>
    <t>ConfirmedTMLY.ConfirmedBookingPastClientExcludingFODepartureYear</t>
  </si>
  <si>
    <t>ConfirmedTMLY.ConfirmedBookingNewClientExcludingFODepartureYear</t>
  </si>
  <si>
    <t>ConfirmedTMLY.ConfirmedBookingUKAgentDepartureYear</t>
  </si>
  <si>
    <t>ConfirmedTMLY.ConfirmedBookingOverseasAgentDepartureYear</t>
  </si>
  <si>
    <t>ConfirmedTMLY.ConfirmedBookingPreschoolSegmentExcludingFODepartureYear</t>
  </si>
  <si>
    <t>ConfirmedTMLY.ConfirmedBookingYoungFamilySegmentExcludingFODepartureYear</t>
  </si>
  <si>
    <t>ConfirmedTMLY.ConfirmedBookingOlderFamilySegmentExcludingFODepartureYear</t>
  </si>
  <si>
    <t>ConfirmedTMLY.ConfirmedBookingYoungCoupleSegmentExcludingFODepartureYear</t>
  </si>
  <si>
    <t>ConfirmedTMLY.ConfirmedBookingOlderCoupleSegmentExcludingFODepartureYear</t>
  </si>
  <si>
    <t>ConfirmedTMLY.ConfirmedBookingAdultGroupSegmentExcludingFODepartureYear</t>
  </si>
  <si>
    <t>ConfirmedTMLY.ConfirmedBookingOtherSegmentExcludingFODepartureYear</t>
  </si>
  <si>
    <t>ConfirmedTMLY.ConfirmedBookingGreeceExcludingFODepartureYear</t>
  </si>
  <si>
    <t>ConfirmedTMLY.ConfirmedBookingMallorcaExcludingFODepartureYear</t>
  </si>
  <si>
    <t>ConfirmedTMLY.ConfirmedBookingItalyExcludingFODepartureYear</t>
  </si>
  <si>
    <t>ConfirmedTMLY.ConfirmedBookingCorsicaExcludingFODepartureYear</t>
  </si>
  <si>
    <t>ConfirmedTMLY.ConfirmedBookingTurkeyExcludingFODepartureYear</t>
  </si>
  <si>
    <t>ConfirmedTMLY.ConfirmedBookingFranceExcludingAquitaineExcludingFODepartureYear</t>
  </si>
  <si>
    <t>ConfirmedTMLY.ConfirmedBookingFranceExcludingFODepartureYear</t>
  </si>
  <si>
    <t>ConfirmedTMLY.ConfirmedBookingMayDepartureExcludingFODepartureYear</t>
  </si>
  <si>
    <t>ConfirmedTMLY.ConfirmedBookingJuneDepartureExcludingFODepartureYear</t>
  </si>
  <si>
    <t>ConfirmedTMLY.ConfirmedBookingJulyDepartureExcludingFODepartureYear</t>
  </si>
  <si>
    <t>ConfirmedTMLY.ConfirmedBookingAugustDepartureExcludingFODepartureYear</t>
  </si>
  <si>
    <t>ConfirmedTMLY.ConfirmedBookingSeptemberDepartureExcludingFODepartureYear</t>
  </si>
  <si>
    <t>ConfirmedTMLY.ConfirmedBookingOctoberDepartureExcludingFODepartureYear</t>
  </si>
  <si>
    <t>ConfirmedTMLY.ConfirmedRevenuePastClientExcludingFODepartureYear</t>
  </si>
  <si>
    <t>ConfirmedTMLY.ConfirmedRevenueNewClientExcludingFODepartureYear</t>
  </si>
  <si>
    <t>ConfirmedTMLY.ConfirmedRevenueUKAgentDepartureYear</t>
  </si>
  <si>
    <t>ConfirmedTMLY.ConfirmedRevenueOverseasAgentDepartureYear</t>
  </si>
  <si>
    <t>ConfirmedTMLY.ConfirmedRevenuePreschoolSegmentExcludingFODepartureYear</t>
  </si>
  <si>
    <t>ConfirmedTMLY.ConfirmedRevenueYoungFamilySegmentExcludingFODepartureYear</t>
  </si>
  <si>
    <t>ConfirmedTMLY.ConfirmedRevenueOlderFamilySegmentExcludingFODepartureYear</t>
  </si>
  <si>
    <t>ConfirmedTMLY.ConfirmedRevenueYoungCoupleSegmentExcludingFODepartureYear</t>
  </si>
  <si>
    <t>ConfirmedTMLY.ConfirmedRevenueOlderCoupleSegmentExcludingFODepartureYear</t>
  </si>
  <si>
    <t>ConfirmedTMLY.ConfirmedRevenueAdultGroupSegmentExcludingFODepartureYear</t>
  </si>
  <si>
    <t>ConfirmedTMLY.ConfirmedRevenueOtherSegmentExcludingFODepartureYear</t>
  </si>
  <si>
    <t>ConfirmedTMLY.ConfirmedRevenueGreeceExcludingFODepartureYear</t>
  </si>
  <si>
    <t>ConfirmedTMLY.ConfirmedRevenueMallorcaExcludingFODepartureYear</t>
  </si>
  <si>
    <t>ConfirmedTMLY.ConfirmedRevenueItalyExcludingFODepartureYear</t>
  </si>
  <si>
    <t>ConfirmedTMLY.ConfirmedRevenueCorsicaExcludingFODepartureYear</t>
  </si>
  <si>
    <t>ConfirmedTMLY.ConfirmedRevenueTurkeyExcludingFODepartureYear</t>
  </si>
  <si>
    <t>ConfirmedTMLY.ConfirmedRevenueFranceExcludingAquitaineExcludingFODepartureYear</t>
  </si>
  <si>
    <t>ConfirmedTMLY.ConfirmedRevenueFranceExcludingFODepartureYear</t>
  </si>
  <si>
    <t>ConfirmedTMLY.ConfirmedRevenueMayDepartureExcludingFODepartureYear</t>
  </si>
  <si>
    <t>ConfirmedTMLY.ConfirmedRevenueJuneDepartureExcludingFODepartureYear</t>
  </si>
  <si>
    <t>ConfirmedTMLY.ConfirmedRevenueJulyDepartureExcludingFODepartureYear</t>
  </si>
  <si>
    <t>ConfirmedTMLY.ConfirmedRevenueAugustDepartureExcludingFODepartureYear</t>
  </si>
  <si>
    <t>ConfirmedTMLY.ConfirmedRevenueSeptemberDepartureExcludingFODepartureYear</t>
  </si>
  <si>
    <t>ConfirmedTMLY.ConfirmedRevenueOctoberDepartureExcludingFODepartureYear</t>
  </si>
  <si>
    <t>ConfirmedTY.ConfirmedBookingTotal</t>
  </si>
  <si>
    <t>ConfirmedTY.ConfirmedRevenueTotal</t>
  </si>
  <si>
    <t>ConfirmedTY.ConfirmedPAXCount</t>
  </si>
  <si>
    <t>ConfirmedTY.ConfirmedCommittedFlightSeatsCount</t>
  </si>
  <si>
    <t>ConfirmedTY.ConfirmedAdHocFlightSeatsCount</t>
  </si>
  <si>
    <t>ConfirmedTY.ConfirmedBookingTotalExcludingFO</t>
  </si>
  <si>
    <t>ConfirmedTY.ConfirmedRevenueTotalExcludingFO</t>
  </si>
  <si>
    <t>ConfirmedTY.ConfirmedBookingSalesCentreExcludingFO</t>
  </si>
  <si>
    <t>ConfirmedTY.ConfirmedBookingWebsiteExcludingFO</t>
  </si>
  <si>
    <t>ConfirmedTY.ConfirmedRevenueSalesCentreExcludingFO</t>
  </si>
  <si>
    <t>ConfirmedTY.ConfirmedRevenueWebsiteExcludingFO</t>
  </si>
  <si>
    <t>ConfirmedTY.ConfirmedBookingPastClientExcludingFO</t>
  </si>
  <si>
    <t>ConfirmedTY.ConfirmedBookingNewClientExcludingFO</t>
  </si>
  <si>
    <t>ConfirmedTY.ConfirmedBookingUKAgent</t>
  </si>
  <si>
    <t>ConfirmedTY.ConfirmedBookingOverseasAgent</t>
  </si>
  <si>
    <t>ConfirmedTY.ConfirmedBookingPreschoolSegmentExcludingFO</t>
  </si>
  <si>
    <t>ConfirmedTY.ConfirmedBookingYoungFamilySegmentExcludingFO</t>
  </si>
  <si>
    <t>ConfirmedTY.ConfirmedBookingOlderFamilySegmentExcludingFO</t>
  </si>
  <si>
    <t>ConfirmedTY.ConfirmedBookingYoungCoupleSegmentExcludingFO</t>
  </si>
  <si>
    <t>ConfirmedTY.ConfirmedBookingOlderCoupleSegmentExcludingFO</t>
  </si>
  <si>
    <t>ConfirmedTY.ConfirmedBookingAdultGroupSegmentExcludingFO</t>
  </si>
  <si>
    <t>ConfirmedTY.ConfirmedBookingOtherSegmentExcludingFO</t>
  </si>
  <si>
    <t>ConfirmedTY.ConfirmedBookingGreeceExcludingFO</t>
  </si>
  <si>
    <t>ConfirmedTY.ConfirmedBookingMallorcaExcludingFO</t>
  </si>
  <si>
    <t>ConfirmedTY.ConfirmedBookingItalyExcludingFO</t>
  </si>
  <si>
    <t>ConfirmedTY.ConfirmedBookingCorsicaExcludingFO</t>
  </si>
  <si>
    <t>ConfirmedTY.ConfirmedBookingTurkeyExcludingFO</t>
  </si>
  <si>
    <t>ConfirmedTY.ConfirmedBookingFranceExcludingAquitaineExcludingFO</t>
  </si>
  <si>
    <t>ConfirmedTY.ConfirmedBookingFranceExcludingFO</t>
  </si>
  <si>
    <t>ConfirmedTY.ConfirmedBookingMayDepartureExcludingFO</t>
  </si>
  <si>
    <t>ConfirmedTY.ConfirmedBookingJuneDepartureExcludingFO</t>
  </si>
  <si>
    <t>ConfirmedTY.ConfirmedBookingJulyDepartureExcludingFO</t>
  </si>
  <si>
    <t>ConfirmedTY.ConfirmedBookingAugustDepartureExcludingFO</t>
  </si>
  <si>
    <t>ConfirmedTY.ConfirmedBookingSeptemberDepartureExcludingFO</t>
  </si>
  <si>
    <t>ConfirmedTY.ConfirmedBookingOctoberDepartureExcludingFO</t>
  </si>
  <si>
    <t>ConfirmedTY.ConfirmedRevenuePastClientExcludingFO</t>
  </si>
  <si>
    <t>ConfirmedTY.ConfirmedRevenueNewClientExcludingFO</t>
  </si>
  <si>
    <t>ConfirmedTY.ConfirmedRevenueUKAgent</t>
  </si>
  <si>
    <t>ConfirmedTY.ConfirmedRevenueOverseasAgent</t>
  </si>
  <si>
    <t>ConfirmedTY.ConfirmedRevenuePreschoolSegmentExcludingFO</t>
  </si>
  <si>
    <t>ConfirmedTY.ConfirmedRevenueYoungFamilySegmentExcludingFO</t>
  </si>
  <si>
    <t>ConfirmedTY.ConfirmedRevenueOlderFamilySegmentExcludingFO</t>
  </si>
  <si>
    <t>ConfirmedTY.ConfirmedRevenueYoungCoupleSegmentExcludingFO</t>
  </si>
  <si>
    <t>ConfirmedTY.ConfirmedRevenueOlderCoupleSegmentExcludingFO</t>
  </si>
  <si>
    <t>ConfirmedTY.ConfirmedRevenueAdultGroupSegmentExcludingFO</t>
  </si>
  <si>
    <t>ConfirmedTY.ConfirmedRevenueOtherSegmentExcludingFO</t>
  </si>
  <si>
    <t>ConfirmedTY.ConfirmedRevenueGreeceExcludingFO</t>
  </si>
  <si>
    <t>ConfirmedTY.ConfirmedRevenueMallorcaExcludingFO</t>
  </si>
  <si>
    <t>ConfirmedTY.ConfirmedRevenueItalyExcludingFO</t>
  </si>
  <si>
    <t>ConfirmedTY.ConfirmedRevenueCorsicaExcludingFO</t>
  </si>
  <si>
    <t>ConfirmedTY.ConfirmedRevenueTurkeyExcludingFO</t>
  </si>
  <si>
    <t>ConfirmedTY.ConfirmedRevenueFranceExcludingAquitaineExcludingFO</t>
  </si>
  <si>
    <t>ConfirmedTY.ConfirmedRevenueFranceExcludingFO</t>
  </si>
  <si>
    <t>ConfirmedTY.ConfirmedRevenueMayDepartureExcludingFO</t>
  </si>
  <si>
    <t>ConfirmedTY.ConfirmedRevenueJuneDepartureExcludingFO</t>
  </si>
  <si>
    <t>ConfirmedTY.ConfirmedRevenueJulyDepartureExcludingFO</t>
  </si>
  <si>
    <t>ConfirmedTY.ConfirmedRevenueAugustDepartureExcludingFO</t>
  </si>
  <si>
    <t>ConfirmedTY.ConfirmedRevenueSeptemberDepartureExcludingFO</t>
  </si>
  <si>
    <t>ConfirmedTY.ConfirmedRevenueOctoberDepartureExcludingFO</t>
  </si>
  <si>
    <t>ConfirmedTY.ConfirmedBookingTotalDepartureYear</t>
  </si>
  <si>
    <t>ConfirmedTY.ConfirmedRevenueTotalDepartureYear</t>
  </si>
  <si>
    <t>ConfirmedTY.ConfirmedPAXCountDepartureYear</t>
  </si>
  <si>
    <t>ConfirmedTY.ConfirmedCommittedFlightSeatsCountDepartureYear</t>
  </si>
  <si>
    <t>ConfirmedTY.ConfirmedAdHocFlightSeatsCountDepartureYear</t>
  </si>
  <si>
    <t>ConfirmedTY.ConfirmedBookingTotalExcludingFODepartureYear</t>
  </si>
  <si>
    <t>ConfirmedTY.ConfirmedRevenueTotalExcludingFODepartureYear</t>
  </si>
  <si>
    <t>ConfirmedTY.ConfirmedBookingSalesCentreExcludingFODepartureYear</t>
  </si>
  <si>
    <t>ConfirmedTY.ConfirmedBookingWebsiteExcludingFODepartureYear</t>
  </si>
  <si>
    <t>ConfirmedTY.ConfirmedRevenueSalesCentreExcludingFODepartureYear</t>
  </si>
  <si>
    <t>ConfirmedTY.ConfirmedRevenueWebsiteExcludingFODepartureYear</t>
  </si>
  <si>
    <t>ConfirmedTY.ConfirmedBookingPastClientExcludingFODepartureYear</t>
  </si>
  <si>
    <t>ConfirmedTY.ConfirmedBookingNewClientExcludingFODepartureYear</t>
  </si>
  <si>
    <t>ConfirmedTY.ConfirmedBookingUKAgentDepartureYear</t>
  </si>
  <si>
    <t>ConfirmedTY.ConfirmedBookingOverseasAgentDepartureYear</t>
  </si>
  <si>
    <t>ConfirmedTY.ConfirmedBookingPreschoolSegmentExcludingFODepartureYear</t>
  </si>
  <si>
    <t>ConfirmedTY.ConfirmedBookingYoungFamilySegmentExcludingFODepartureYear</t>
  </si>
  <si>
    <t>ConfirmedTY.ConfirmedBookingOlderFamilySegmentExcludingFODepartureYear</t>
  </si>
  <si>
    <t>ConfirmedTY.ConfirmedBookingYoungCoupleSegmentExcludingFODepartureYear</t>
  </si>
  <si>
    <t>ConfirmedTY.ConfirmedBookingOlderCoupleSegmentExcludingFODepartureYear</t>
  </si>
  <si>
    <t>ConfirmedTY.ConfirmedBookingAdultGroupSegmentExcludingFODepartureYear</t>
  </si>
  <si>
    <t>ConfirmedTY.ConfirmedBookingOtherSegmentExcludingFODepartureYear</t>
  </si>
  <si>
    <t>ConfirmedTY.ConfirmedBookingGreeceExcludingFODepartureYear</t>
  </si>
  <si>
    <t>ConfirmedTY.ConfirmedBookingMallorcaExcludingFODepartureYear</t>
  </si>
  <si>
    <t>ConfirmedTY.ConfirmedBookingItalyExcludingFODepartureYear</t>
  </si>
  <si>
    <t>ConfirmedTY.ConfirmedBookingCorsicaExcludingFODepartureYear</t>
  </si>
  <si>
    <t>ConfirmedTY.ConfirmedBookingTurkeyExcludingFODepartureYear</t>
  </si>
  <si>
    <t>ConfirmedTY.ConfirmedBookingFranceExcludingAquitaineExcludingFODepartureYear</t>
  </si>
  <si>
    <t>ConfirmedTY.ConfirmedBookingFranceExcludingFODepartureYear</t>
  </si>
  <si>
    <t>ConfirmedTY.ConfirmedBookingMayDepartureExcludingFODepartureYear</t>
  </si>
  <si>
    <t>ConfirmedTY.ConfirmedBookingJuneDepartureExcludingFODepartureYear</t>
  </si>
  <si>
    <t>ConfirmedTY.ConfirmedBookingJulyDepartureExcludingFODepartureYear</t>
  </si>
  <si>
    <t>ConfirmedTY.ConfirmedBookingAugustDepartureExcludingFODepartureYear</t>
  </si>
  <si>
    <t>ConfirmedTY.ConfirmedBookingSeptemberDepartureExcludingFODepartureYear</t>
  </si>
  <si>
    <t>ConfirmedTY.ConfirmedBookingOctoberDepartureExcludingFODepartureYear</t>
  </si>
  <si>
    <t>ConfirmedTY.ConfirmedRevenuePastClientExcludingFODepartureYear</t>
  </si>
  <si>
    <t>ConfirmedTY.ConfirmedRevenueNewClientExcludingFODepartureYear</t>
  </si>
  <si>
    <t>ConfirmedTY.ConfirmedRevenueUKAgentDepartureYear</t>
  </si>
  <si>
    <t>ConfirmedTY.ConfirmedRevenueOverseasAgentDepartureYear</t>
  </si>
  <si>
    <t>ConfirmedTY.ConfirmedRevenuePreschoolSegmentExcludingFODepartureYear</t>
  </si>
  <si>
    <t>ConfirmedTY.ConfirmedRevenueYoungFamilySegmentExcludingFODepartureYear</t>
  </si>
  <si>
    <t>ConfirmedTY.ConfirmedRevenueOlderFamilySegmentExcludingFODepartureYear</t>
  </si>
  <si>
    <t>ConfirmedTY.ConfirmedRevenueYoungCoupleSegmentExcludingFODepartureYear</t>
  </si>
  <si>
    <t>ConfirmedTY.ConfirmedRevenueOlderCoupleSegmentExcludingFODepartureYear</t>
  </si>
  <si>
    <t>ConfirmedTY.ConfirmedRevenueAdultGroupSegmentExcludingFODepartureYear</t>
  </si>
  <si>
    <t>ConfirmedTY.ConfirmedRevenueOtherSegmentExcludingFODepartureYear</t>
  </si>
  <si>
    <t>ConfirmedTY.ConfirmedRevenueGreeceExcludingFODepartureYear</t>
  </si>
  <si>
    <t>ConfirmedTY.ConfirmedRevenueMallorcaExcludingFODepartureYear</t>
  </si>
  <si>
    <t>ConfirmedTY.ConfirmedRevenueItalyExcludingFODepartureYear</t>
  </si>
  <si>
    <t>ConfirmedTY.ConfirmedRevenueCorsicaExcludingFODepartureYear</t>
  </si>
  <si>
    <t>ConfirmedTY.ConfirmedRevenueTurkeyExcludingFODepartureYear</t>
  </si>
  <si>
    <t>ConfirmedTY.ConfirmedRevenueFranceExcludingAquitaineExcludingFODepartureYear</t>
  </si>
  <si>
    <t>ConfirmedTY.ConfirmedRevenueFranceExcludingFODepartureYear</t>
  </si>
  <si>
    <t>ConfirmedTY.ConfirmedRevenueMayDepartureExcludingFODepartureYear</t>
  </si>
  <si>
    <t>ConfirmedTY.ConfirmedRevenueJuneDepartureExcludingFODepartureYear</t>
  </si>
  <si>
    <t>ConfirmedTY.ConfirmedRevenueJulyDepartureExcludingFODepartureYear</t>
  </si>
  <si>
    <t>ConfirmedTY.ConfirmedRevenueAugustDepartureExcludingFODepartureYear</t>
  </si>
  <si>
    <t>ConfirmedTY.ConfirmedRevenueSeptemberDepartureExcludingFODepartureYear</t>
  </si>
  <si>
    <t>ConfirmedTY.ConfirmedRevenueOctoberDepartureExcludingFODepartureYear</t>
  </si>
  <si>
    <t>ConfirmedLY.ConfirmedBookingTotal</t>
  </si>
  <si>
    <t>ConfirmedLY.ConfirmedRevenueTotal</t>
  </si>
  <si>
    <t>ConfirmedLY.ConfirmedPAXCount</t>
  </si>
  <si>
    <t>ConfirmedLY.ConfirmedCommittedFlightSeatsCount</t>
  </si>
  <si>
    <t>ConfirmedLY.ConfirmedAdHocFlightSeatsCount</t>
  </si>
  <si>
    <t>ConfirmedLY.ConfirmedBookingTotalExcludingFO</t>
  </si>
  <si>
    <t>ConfirmedLY.ConfirmedRevenueTotalExcludingFO</t>
  </si>
  <si>
    <t>ConfirmedLY.ConfirmedBookingSalesCentreExcludingFO</t>
  </si>
  <si>
    <t>ConfirmedLY.ConfirmedBookingWebsiteExcludingFO</t>
  </si>
  <si>
    <t>ConfirmedLY.ConfirmedRevenueSalesCentreExcludingFO</t>
  </si>
  <si>
    <t>ConfirmedLY.ConfirmedRevenueWebsiteExcludingFO</t>
  </si>
  <si>
    <t>ConfirmedLY.ConfirmedBookingPastClientExcludingFO</t>
  </si>
  <si>
    <t>ConfirmedLY.ConfirmedBookingNewClientExcludingFO</t>
  </si>
  <si>
    <t>ConfirmedLY.ConfirmedBookingUKAgent</t>
  </si>
  <si>
    <t>ConfirmedLY.ConfirmedBookingOverseasAgent</t>
  </si>
  <si>
    <t>ConfirmedLY.ConfirmedBookingPreschoolSegmentExcludingFO</t>
  </si>
  <si>
    <t>ConfirmedLY.ConfirmedBookingYoungFamilySegmentExcludingFO</t>
  </si>
  <si>
    <t>ConfirmedLY.ConfirmedBookingOlderFamilySegmentExcludingFO</t>
  </si>
  <si>
    <t>ConfirmedLY.ConfirmedBookingYoungCoupleSegmentExcludingFO</t>
  </si>
  <si>
    <t>ConfirmedLY.ConfirmedBookingOlderCoupleSegmentExcludingFO</t>
  </si>
  <si>
    <t>ConfirmedLY.ConfirmedBookingAdultGroupSegmentExcludingFO</t>
  </si>
  <si>
    <t>ConfirmedLY.ConfirmedBookingOtherSegmentExcludingFO</t>
  </si>
  <si>
    <t>ConfirmedLY.ConfirmedBookingGreeceExcludingFO</t>
  </si>
  <si>
    <t>ConfirmedLY.ConfirmedBookingMallorcaExcludingFO</t>
  </si>
  <si>
    <t>ConfirmedLY.ConfirmedBookingItalyExcludingFO</t>
  </si>
  <si>
    <t>ConfirmedLY.ConfirmedBookingCorsicaExcludingFO</t>
  </si>
  <si>
    <t>ConfirmedLY.ConfirmedBookingTurkeyExcludingFO</t>
  </si>
  <si>
    <t>ConfirmedLY.ConfirmedBookingFranceExcludingAquitaineExcludingFO</t>
  </si>
  <si>
    <t>ConfirmedLY.ConfirmedBookingFranceExcludingFO</t>
  </si>
  <si>
    <t>ConfirmedLY.ConfirmedBookingMayDepartureExcludingFO</t>
  </si>
  <si>
    <t>ConfirmedLY.ConfirmedBookingJuneDepartureExcludingFO</t>
  </si>
  <si>
    <t>ConfirmedLY.ConfirmedBookingJulyDepartureExcludingFO</t>
  </si>
  <si>
    <t>ConfirmedLY.ConfirmedBookingAugustDepartureExcludingFO</t>
  </si>
  <si>
    <t>ConfirmedLY.ConfirmedBookingSeptemberDepartureExcludingFO</t>
  </si>
  <si>
    <t>ConfirmedLY.ConfirmedBookingOctoberDepartureExcludingFO</t>
  </si>
  <si>
    <t>ConfirmedLY.ConfirmedRevenuePastClientExcludingFO</t>
  </si>
  <si>
    <t>ConfirmedLY.ConfirmedRevenueNewClientExcludingFO</t>
  </si>
  <si>
    <t>ConfirmedLY.ConfirmedRevenueUKAgent</t>
  </si>
  <si>
    <t>ConfirmedLY.ConfirmedRevenueOverseasAgent</t>
  </si>
  <si>
    <t>ConfirmedLY.ConfirmedRevenuePreschoolSegmentExcludingFO</t>
  </si>
  <si>
    <t>ConfirmedLY.ConfirmedRevenueYoungFamilySegmentExcludingFO</t>
  </si>
  <si>
    <t>ConfirmedLY.ConfirmedRevenueOlderFamilySegmentExcludingFO</t>
  </si>
  <si>
    <t>ConfirmedLY.ConfirmedRevenueYoungCoupleSegmentExcludingFO</t>
  </si>
  <si>
    <t>ConfirmedLY.ConfirmedRevenueOlderCoupleSegmentExcludingFO</t>
  </si>
  <si>
    <t>ConfirmedLY.ConfirmedRevenueAdultGroupSegmentExcludingFO</t>
  </si>
  <si>
    <t>ConfirmedLY.ConfirmedRevenueOtherSegmentExcludingFO</t>
  </si>
  <si>
    <t>ConfirmedLY.ConfirmedRevenueGreeceExcludingFO</t>
  </si>
  <si>
    <t>ConfirmedLY.ConfirmedRevenueMallorcaExcludingFO</t>
  </si>
  <si>
    <t>ConfirmedLY.ConfirmedRevenueItalyExcludingFO</t>
  </si>
  <si>
    <t>ConfirmedLY.ConfirmedRevenueCorsicaExcludingFO</t>
  </si>
  <si>
    <t>ConfirmedLY.ConfirmedRevenueTurkeyExcludingFO</t>
  </si>
  <si>
    <t>ConfirmedLY.ConfirmedRevenueFranceExcludingAquitaineExcludingFO</t>
  </si>
  <si>
    <t>ConfirmedLY.ConfirmedRevenueFranceExcludingFO</t>
  </si>
  <si>
    <t>ConfirmedLY.ConfirmedRevenueMayDepartureExcludingFO</t>
  </si>
  <si>
    <t>ConfirmedLY.ConfirmedRevenueJuneDepartureExcludingFO</t>
  </si>
  <si>
    <t>ConfirmedLY.ConfirmedRevenueJulyDepartureExcludingFO</t>
  </si>
  <si>
    <t>ConfirmedLY.ConfirmedRevenueAugustDepartureExcludingFO</t>
  </si>
  <si>
    <t>ConfirmedLY.ConfirmedRevenueSeptemberDepartureExcludingFO</t>
  </si>
  <si>
    <t>ConfirmedLY.ConfirmedRevenueOctoberDepartureExcludingFO</t>
  </si>
  <si>
    <t>ConfirmedLY.ConfirmedBookingTotalDepartureYear</t>
  </si>
  <si>
    <t>ConfirmedLY.ConfirmedRevenueTotalDepartureYear</t>
  </si>
  <si>
    <t>ConfirmedLY.ConfirmedPAXCountDepartureYear</t>
  </si>
  <si>
    <t>ConfirmedLY.ConfirmedCommittedFlightSeatsCountDepartureYear</t>
  </si>
  <si>
    <t>ConfirmedLY.ConfirmedAdHocFlightSeatsCountDepartureYear</t>
  </si>
  <si>
    <t>ConfirmedLY.ConfirmedBookingTotalExcludingFODepartureYear</t>
  </si>
  <si>
    <t>ConfirmedLY.ConfirmedRevenueTotalExcludingFODepartureYear</t>
  </si>
  <si>
    <t>ConfirmedLY.ConfirmedBookingSalesCentreExcludingFODepartureYear</t>
  </si>
  <si>
    <t>ConfirmedLY.ConfirmedBookingWebsiteExcludingFODepartureYear</t>
  </si>
  <si>
    <t>ConfirmedLY.ConfirmedRevenueSalesCentreExcludingFODepartureYear</t>
  </si>
  <si>
    <t>ConfirmedLY.ConfirmedRevenueWebsiteExcludingFODepartureYear</t>
  </si>
  <si>
    <t>ConfirmedLY.ConfirmedBookingPastClientExcludingFODepartureYear</t>
  </si>
  <si>
    <t>ConfirmedLY.ConfirmedBookingNewClientExcludingFODepartureYear</t>
  </si>
  <si>
    <t>ConfirmedLY.ConfirmedBookingUKAgentDepartureYear</t>
  </si>
  <si>
    <t>ConfirmedLY.ConfirmedBookingOverseasAgentDepartureYear</t>
  </si>
  <si>
    <t>ConfirmedLY.ConfirmedBookingPreschoolSegmentExcludingFODepartureYear</t>
  </si>
  <si>
    <t>ConfirmedLY.ConfirmedBookingYoungFamilySegmentExcludingFODepartureYear</t>
  </si>
  <si>
    <t>ConfirmedLY.ConfirmedBookingOlderFamilySegmentExcludingFODepartureYear</t>
  </si>
  <si>
    <t>ConfirmedLY.ConfirmedBookingYoungCoupleSegmentExcludingFODepartureYear</t>
  </si>
  <si>
    <t>ConfirmedLY.ConfirmedBookingOlderCoupleSegmentExcludingFODepartureYear</t>
  </si>
  <si>
    <t>ConfirmedLY.ConfirmedBookingAdultGroupSegmentExcludingFODepartureYear</t>
  </si>
  <si>
    <t>ConfirmedLY.ConfirmedBookingOtherSegmentExcludingFODepartureYear</t>
  </si>
  <si>
    <t>ConfirmedLY.ConfirmedBookingGreeceExcludingFODepartureYear</t>
  </si>
  <si>
    <t>ConfirmedLY.ConfirmedBookingMallorcaExcludingFODepartureYear</t>
  </si>
  <si>
    <t>ConfirmedLY.ConfirmedBookingItalyExcludingFODepartureYear</t>
  </si>
  <si>
    <t>ConfirmedLY.ConfirmedBookingCorsicaExcludingFODepartureYear</t>
  </si>
  <si>
    <t>ConfirmedLY.ConfirmedBookingTurkeyExcludingFODepartureYear</t>
  </si>
  <si>
    <t>ConfirmedLY.ConfirmedBookingFranceExcludingAquitaineExcludingFODepartureYear</t>
  </si>
  <si>
    <t>ConfirmedLY.ConfirmedBookingFranceExcludingFODepartureYear</t>
  </si>
  <si>
    <t>ConfirmedLY.ConfirmedBookingMayDepartureExcludingFODepartureYear</t>
  </si>
  <si>
    <t>ConfirmedLY.ConfirmedBookingJuneDepartureExcludingFODepartureYear</t>
  </si>
  <si>
    <t>ConfirmedLY.ConfirmedBookingJulyDepartureExcludingFODepartureYear</t>
  </si>
  <si>
    <t>ConfirmedLY.ConfirmedBookingAugustDepartureExcludingFODepartureYear</t>
  </si>
  <si>
    <t>ConfirmedLY.ConfirmedBookingSeptemberDepartureExcludingFODepartureYear</t>
  </si>
  <si>
    <t>ConfirmedLY.ConfirmedBookingOctoberDepartureExcludingFODepartureYear</t>
  </si>
  <si>
    <t>ConfirmedLY.ConfirmedRevenuePastClientExcludingFODepartureYear</t>
  </si>
  <si>
    <t>ConfirmedLY.ConfirmedRevenueNewClientExcludingFODepartureYear</t>
  </si>
  <si>
    <t>ConfirmedLY.ConfirmedRevenueUKAgentDepartureYear</t>
  </si>
  <si>
    <t>ConfirmedLY.ConfirmedRevenueOverseasAgentDepartureYear</t>
  </si>
  <si>
    <t>ConfirmedLY.ConfirmedRevenuePreschoolSegmentExcludingFODepartureYear</t>
  </si>
  <si>
    <t>ConfirmedLY.ConfirmedRevenueYoungFamilySegmentExcludingFODepartureYear</t>
  </si>
  <si>
    <t>ConfirmedLY.ConfirmedRevenueOlderFamilySegmentExcludingFODepartureYear</t>
  </si>
  <si>
    <t>ConfirmedLY.ConfirmedRevenueYoungCoupleSegmentExcludingFODepartureYear</t>
  </si>
  <si>
    <t>ConfirmedLY.ConfirmedRevenueOlderCoupleSegmentExcludingFODepartureYear</t>
  </si>
  <si>
    <t>ConfirmedLY.ConfirmedRevenueAdultGroupSegmentExcludingFODepartureYear</t>
  </si>
  <si>
    <t>ConfirmedLY.ConfirmedRevenueOtherSegmentExcludingFODepartureYear</t>
  </si>
  <si>
    <t>ConfirmedLY.ConfirmedRevenueGreeceExcludingFODepartureYear</t>
  </si>
  <si>
    <t>ConfirmedLY.ConfirmedRevenueMallorcaExcludingFODepartureYear</t>
  </si>
  <si>
    <t>ConfirmedLY.ConfirmedRevenueItalyExcludingFODepartureYear</t>
  </si>
  <si>
    <t>ConfirmedLY.ConfirmedRevenueCorsicaExcludingFODepartureYear</t>
  </si>
  <si>
    <t>ConfirmedLY.ConfirmedRevenueTurkeyExcludingFODepartureYear</t>
  </si>
  <si>
    <t>ConfirmedLY.ConfirmedRevenueFranceExcludingAquitaineExcludingFODepartureYear</t>
  </si>
  <si>
    <t>ConfirmedLY.ConfirmedRevenueFranceExcludingFODepartureYear</t>
  </si>
  <si>
    <t>ConfirmedLY.ConfirmedRevenueMayDepartureExcludingFODepartureYear</t>
  </si>
  <si>
    <t>ConfirmedLY.ConfirmedRevenueJuneDepartureExcludingFODepartureYear</t>
  </si>
  <si>
    <t>ConfirmedLY.ConfirmedRevenueJulyDepartureExcludingFODepartureYear</t>
  </si>
  <si>
    <t>ConfirmedLY.ConfirmedRevenueAugustDepartureExcludingFODepartureYear</t>
  </si>
  <si>
    <t>ConfirmedLY.ConfirmedRevenueSeptemberDepartureExcludingFODepartureYear</t>
  </si>
  <si>
    <t>ConfirmedLY.ConfirmedRevenueOctoberDepartureExcludingFODepartureYear</t>
  </si>
  <si>
    <t>QuotedTW.QuotedBooking</t>
  </si>
  <si>
    <t>QuotedTW.EnquiryBookingSalesCentre</t>
  </si>
  <si>
    <t>QuotedTW.QuotedBookingDepartureYear</t>
  </si>
  <si>
    <t>QuotedTW.EnquiryBookingSalesCentreDepartureYear</t>
  </si>
  <si>
    <t>QuotedLW.QuotedBooking</t>
  </si>
  <si>
    <t>QuotedLW.EnquiryBookingSalesCentre</t>
  </si>
  <si>
    <t>QuotedLW.QuotedBookingDepartureYear</t>
  </si>
  <si>
    <t>QuotedLW.EnquiryBookingSalesCentreDepartureYear</t>
  </si>
  <si>
    <t>QuotedTWLY.QuotedBooking</t>
  </si>
  <si>
    <t>QuotedTWLY.EnquiryBookingSalesCentre</t>
  </si>
  <si>
    <t>QuotedTWLY.QuotedBookingDepartureYear</t>
  </si>
  <si>
    <t>QuotedTWLY.EnquiryBookingSalesCentreDepartureYear</t>
  </si>
  <si>
    <t>QuotedTM.QuotedBooking</t>
  </si>
  <si>
    <t>QuotedTM.EnquiryBookingSalesCentre</t>
  </si>
  <si>
    <t>QuotedTM.QuotedBookingDepartureYear</t>
  </si>
  <si>
    <t>QuotedTM.EnquiryBookingSalesCentreDepartureYear</t>
  </si>
  <si>
    <t>QuotedTMLY.QuotedBooking</t>
  </si>
  <si>
    <t>QuotedTMLY.EnquiryBookingSalesCentre</t>
  </si>
  <si>
    <t>QuotedTMLY.QuotedBookingDepartureYear</t>
  </si>
  <si>
    <t>QuotedTMLY.EnquiryBookingSalesCentreDepartureYear</t>
  </si>
  <si>
    <t>QuotedTY.QuotedBooking</t>
  </si>
  <si>
    <t>QuotedTY.EnquiryBookingSalesCentre</t>
  </si>
  <si>
    <t>QuotedTY.QuotedBookingDepartureYear</t>
  </si>
  <si>
    <t>QuotedTY.EnquiryBookingSalesCentreDepartureYear</t>
  </si>
  <si>
    <t>QuotedLY.QuotedBooking</t>
  </si>
  <si>
    <t>QuotedLY.EnquiryBookingSalesCentre</t>
  </si>
  <si>
    <t>QuotedLY.QuotedBookingDepartureYear</t>
  </si>
  <si>
    <t>QuotedLY.EnquiryBookingSalesCentreDepartureYear</t>
  </si>
  <si>
    <t>OptionedTW.OptionedBooking</t>
  </si>
  <si>
    <t>OptionedTW.LiveOptionBooking</t>
  </si>
  <si>
    <t>OptionedTW.LiveOptionRevenue</t>
  </si>
  <si>
    <t>OptionedTW.OptionedBookingDepartureYear</t>
  </si>
  <si>
    <t>OptionedTW.LiveOptionBookingDepartureYear</t>
  </si>
  <si>
    <t>OptionedTW.LiveOptionRevenueDepartureYear</t>
  </si>
  <si>
    <t>OptionedLW.OptionedBooking</t>
  </si>
  <si>
    <t>OptionedLW.LiveOptionBooking</t>
  </si>
  <si>
    <t>OptionedLW.LiveOptionRevenue</t>
  </si>
  <si>
    <t>OptionedLW.OptionedBookingDepartureYear</t>
  </si>
  <si>
    <t>OptionedLW.LiveOptionBookingDepartureYear</t>
  </si>
  <si>
    <t>OptionedLW.LiveOptionRevenueDepartureYear</t>
  </si>
  <si>
    <t>OptionedTWLY.OptionedBooking</t>
  </si>
  <si>
    <t>OptionedTWLY.LiveOptionBooking</t>
  </si>
  <si>
    <t>OptionedTWLY.LiveOptionRevenue</t>
  </si>
  <si>
    <t>OptionedTWLY.OptionedBookingDepartureYear</t>
  </si>
  <si>
    <t>OptionedTWLY.LiveOptionBookingDepartureYear</t>
  </si>
  <si>
    <t>OptionedTWLY.LiveOptionRevenueDepartureYear</t>
  </si>
  <si>
    <t>OptionedTM.OptionedBooking</t>
  </si>
  <si>
    <t>OptionedTM.LiveOptionBooking</t>
  </si>
  <si>
    <t>OptionedTM.LiveOptionRevenue</t>
  </si>
  <si>
    <t>OptionedTM.OptionedBookingDepartureYear</t>
  </si>
  <si>
    <t>OptionedTM.LiveOptionBookingDepartureYear</t>
  </si>
  <si>
    <t>OptionedTM.LiveOptionRevenueDepartureYear</t>
  </si>
  <si>
    <t>OptionedTMLY.OptionedBooking</t>
  </si>
  <si>
    <t>OptionedTMLY.LiveOptionBooking</t>
  </si>
  <si>
    <t>OptionedTMLY.LiveOptionRevenue</t>
  </si>
  <si>
    <t>OptionedTMLY.OptionedBookingDepartureYear</t>
  </si>
  <si>
    <t>OptionedTMLY.LiveOptionBookingDepartureYear</t>
  </si>
  <si>
    <t>OptionedTMLY.LiveOptionRevenueDepartureYear</t>
  </si>
  <si>
    <t>OptionedTY.OptionedBooking</t>
  </si>
  <si>
    <t>OptionedTY.LiveOptionBooking</t>
  </si>
  <si>
    <t>OptionedTY.LiveOptionRevenue</t>
  </si>
  <si>
    <t>OptionedTY.OptionedBookingDepartureYear</t>
  </si>
  <si>
    <t>OptionedTY.LiveOptionBookingDepartureYear</t>
  </si>
  <si>
    <t>OptionedTY.LiveOptionRevenueDepartureYear</t>
  </si>
  <si>
    <t>OptionedLY.OptionedBooking</t>
  </si>
  <si>
    <t>OptionedLY.LiveOptionBooking</t>
  </si>
  <si>
    <t>OptionedLY.LiveOptionRevenue</t>
  </si>
  <si>
    <t>OptionedLY.OptionedBookingDepartureYear</t>
  </si>
  <si>
    <t>OptionedLY.LiveOptionBookingDepartureYear</t>
  </si>
  <si>
    <t>OptionedLY.LiveOptionRevenueDepartureYear</t>
  </si>
  <si>
    <t>MCF.TW.GoalConversionsTotal</t>
  </si>
  <si>
    <t>MCF.TW.GoalConversionsDirect</t>
  </si>
  <si>
    <t>MCF.TW.GoalConversionsOrganicSearch</t>
  </si>
  <si>
    <t>MCF.TW.GoalConversionsSocial</t>
  </si>
  <si>
    <t>MCF.TW.GoalConversionsEmail</t>
  </si>
  <si>
    <t>MCF.TW.GoalConversionsAffiliates</t>
  </si>
  <si>
    <t>MCF.TW.GoalConversionsReferral</t>
  </si>
  <si>
    <t>MCF.TW.GoalConversionsPaidSearch</t>
  </si>
  <si>
    <t>MCF.TW.GoalConversionsOther</t>
  </si>
  <si>
    <t>MCF.TW.GoalConversionsDisplay</t>
  </si>
  <si>
    <t>MCF.TW.PhoneCallsTotal</t>
  </si>
  <si>
    <t>MCF.TW.PhoneCallsDirect</t>
  </si>
  <si>
    <t>MCF.TW.PhoneCallsOrganicSearch</t>
  </si>
  <si>
    <t>MCF.TW.PhoneCallsSocial</t>
  </si>
  <si>
    <t>MCF.TW.PhoneCallsEmail</t>
  </si>
  <si>
    <t>MCF.TW.PhoneCallsAffiliates</t>
  </si>
  <si>
    <t>MCF.TW.PhoneCallsReferral</t>
  </si>
  <si>
    <t>MCF.TW.PhoneCallsPaidSearch</t>
  </si>
  <si>
    <t>MCF.TW.PhoneCallsOther</t>
  </si>
  <si>
    <t>MCF.TW.PhoneCallsDisplay</t>
  </si>
  <si>
    <t>MCF.LW.GoalConversionsTotal</t>
  </si>
  <si>
    <t>MCF.LW.GoalConversionsDirect</t>
  </si>
  <si>
    <t>MCF.LW.GoalConversionsOrganicSearch</t>
  </si>
  <si>
    <t>MCF.LW.GoalConversionsSocial</t>
  </si>
  <si>
    <t>MCF.LW.GoalConversionsEmail</t>
  </si>
  <si>
    <t>MCF.LW.GoalConversionsAffiliates</t>
  </si>
  <si>
    <t>MCF.LW.GoalConversionsReferral</t>
  </si>
  <si>
    <t>MCF.LW.GoalConversionsPaidSearch</t>
  </si>
  <si>
    <t>MCF.LW.GoalConversionsOther</t>
  </si>
  <si>
    <t>MCF.LW.GoalConversionsDisplay</t>
  </si>
  <si>
    <t>MCF.LW.PhoneCallsTotal</t>
  </si>
  <si>
    <t>MCF.LW.PhoneCallsDirect</t>
  </si>
  <si>
    <t>MCF.LW.PhoneCallsOrganicSearch</t>
  </si>
  <si>
    <t>MCF.LW.PhoneCallsSocial</t>
  </si>
  <si>
    <t>MCF.LW.PhoneCallsEmail</t>
  </si>
  <si>
    <t>MCF.LW.PhoneCallsAffiliates</t>
  </si>
  <si>
    <t>MCF.LW.PhoneCallsReferral</t>
  </si>
  <si>
    <t>MCF.LW.PhoneCallsPaidSearch</t>
  </si>
  <si>
    <t>MCF.LW.PhoneCallsOther</t>
  </si>
  <si>
    <t>MCF.LW.PhoneCallsDisplay</t>
  </si>
  <si>
    <t>MCF.TWLY.GoalConversionsTotal</t>
  </si>
  <si>
    <t>MCF.TWLY.GoalConversionsDirect</t>
  </si>
  <si>
    <t>MCF.TWLY.GoalConversionsOrganicSearch</t>
  </si>
  <si>
    <t>MCF.TWLY.GoalConversionsSocial</t>
  </si>
  <si>
    <t>MCF.TWLY.GoalConversionsEmail</t>
  </si>
  <si>
    <t>MCF.TWLY.GoalConversionsAffiliates</t>
  </si>
  <si>
    <t>MCF.TWLY.GoalConversionsReferral</t>
  </si>
  <si>
    <t>MCF.TWLY.GoalConversionsPaidSearch</t>
  </si>
  <si>
    <t>MCF.TWLY.GoalConversionsOther</t>
  </si>
  <si>
    <t>MCF.TWLY.GoalConversionsDisplay</t>
  </si>
  <si>
    <t>MCF.TWLY.PhoneCallsTotal</t>
  </si>
  <si>
    <t>MCF.TWLY.PhoneCallsDirect</t>
  </si>
  <si>
    <t>MCF.TWLY.PhoneCallsOrganicSearch</t>
  </si>
  <si>
    <t>MCF.TWLY.PhoneCallsSocial</t>
  </si>
  <si>
    <t>MCF.TWLY.PhoneCallsEmail</t>
  </si>
  <si>
    <t>MCF.TWLY.PhoneCallsAffiliates</t>
  </si>
  <si>
    <t>MCF.TWLY.PhoneCallsReferral</t>
  </si>
  <si>
    <t>MCF.TWLY.PhoneCallsPaidSearch</t>
  </si>
  <si>
    <t>MCF.TWLY.PhoneCallsOther</t>
  </si>
  <si>
    <t>MCF.TWLY.PhoneCallsDisplay</t>
  </si>
  <si>
    <t>MCF.TM.GoalConversionsTotal</t>
  </si>
  <si>
    <t>MCF.TM.GoalConversionsDirect</t>
  </si>
  <si>
    <t>MCF.TM.GoalConversionsOrganicSearch</t>
  </si>
  <si>
    <t>MCF.TM.GoalConversionsSocial</t>
  </si>
  <si>
    <t>MCF.TM.GoalConversionsEmail</t>
  </si>
  <si>
    <t>MCF.TM.GoalConversionsAffiliates</t>
  </si>
  <si>
    <t>MCF.TM.GoalConversionsReferral</t>
  </si>
  <si>
    <t>MCF.TM.GoalConversionsPaidSearch</t>
  </si>
  <si>
    <t>MCF.TM.GoalConversionsOther</t>
  </si>
  <si>
    <t>MCF.TM.GoalConversionsDisplay</t>
  </si>
  <si>
    <t>MCF.TM.PhoneCallsTotal</t>
  </si>
  <si>
    <t>MCF.TM.PhoneCallsDirect</t>
  </si>
  <si>
    <t>MCF.TM.PhoneCallsOrganicSearch</t>
  </si>
  <si>
    <t>MCF.TM.PhoneCallsSocial</t>
  </si>
  <si>
    <t>MCF.TM.PhoneCallsEmail</t>
  </si>
  <si>
    <t>MCF.TM.PhoneCallsAffiliates</t>
  </si>
  <si>
    <t>MCF.TM.PhoneCallsReferral</t>
  </si>
  <si>
    <t>MCF.TM.PhoneCallsPaidSearch</t>
  </si>
  <si>
    <t>MCF.TM.PhoneCallsOther</t>
  </si>
  <si>
    <t>MCF.TM.PhoneCallsDisplay</t>
  </si>
  <si>
    <t>MCF.TMLY.GoalConversionsTotal</t>
  </si>
  <si>
    <t>MCF.TMLY.GoalConversionsDirect</t>
  </si>
  <si>
    <t>MCF.TMLY.GoalConversionsOrganicSearch</t>
  </si>
  <si>
    <t>MCF.TMLY.GoalConversionsSocial</t>
  </si>
  <si>
    <t>MCF.TMLY.GoalConversionsEmail</t>
  </si>
  <si>
    <t>MCF.TMLY.GoalConversionsAffiliates</t>
  </si>
  <si>
    <t>MCF.TMLY.GoalConversionsReferral</t>
  </si>
  <si>
    <t>MCF.TMLY.GoalConversionsPaidSearch</t>
  </si>
  <si>
    <t>MCF.TMLY.GoalConversionsOther</t>
  </si>
  <si>
    <t>MCF.TMLY.GoalConversionsDisplay</t>
  </si>
  <si>
    <t>MCF.TMLY.PhoneCallsTotal</t>
  </si>
  <si>
    <t>MCF.TMLY.PhoneCallsDirect</t>
  </si>
  <si>
    <t>MCF.TMLY.PhoneCallsOrganicSearch</t>
  </si>
  <si>
    <t>MCF.TMLY.PhoneCallsSocial</t>
  </si>
  <si>
    <t>MCF.TMLY.PhoneCallsEmail</t>
  </si>
  <si>
    <t>MCF.TMLY.PhoneCallsAffiliates</t>
  </si>
  <si>
    <t>MCF.TMLY.PhoneCallsReferral</t>
  </si>
  <si>
    <t>MCF.TMLY.PhoneCallsPaidSearch</t>
  </si>
  <si>
    <t>MCF.TMLY.PhoneCallsOther</t>
  </si>
  <si>
    <t>MCF.TMLY.PhoneCallsDisplay</t>
  </si>
  <si>
    <t>MCF.FY.GoalConversionsTotal</t>
  </si>
  <si>
    <t>MCF.FY.GoalConversionsDirect</t>
  </si>
  <si>
    <t>MCF.FY.GoalConversionsOrganicSearch</t>
  </si>
  <si>
    <t>MCF.FY.GoalConversionsSocial</t>
  </si>
  <si>
    <t>MCF.FY.GoalConversionsEmail</t>
  </si>
  <si>
    <t>MCF.FY.GoalConversionsAffiliates</t>
  </si>
  <si>
    <t>MCF.FY.GoalConversionsReferral</t>
  </si>
  <si>
    <t>MCF.FY.GoalConversionsPaidSearch</t>
  </si>
  <si>
    <t>MCF.FY.GoalConversionsOther</t>
  </si>
  <si>
    <t>MCF.FY.GoalConversionsDisplay</t>
  </si>
  <si>
    <t>MCF.FY.PhoneCallsTotal</t>
  </si>
  <si>
    <t>MCF.FY.PhoneCallsDirect</t>
  </si>
  <si>
    <t>MCF.FY.PhoneCallsOrganicSearch</t>
  </si>
  <si>
    <t>MCF.FY.PhoneCallsSocial</t>
  </si>
  <si>
    <t>MCF.FY.PhoneCallsEmail</t>
  </si>
  <si>
    <t>MCF.FY.PhoneCallsAffiliates</t>
  </si>
  <si>
    <t>MCF.FY.PhoneCallsReferral</t>
  </si>
  <si>
    <t>MCF.FY.PhoneCallsPaidSearch</t>
  </si>
  <si>
    <t>MCF.FY.PhoneCallsOther</t>
  </si>
  <si>
    <t>MCF.FY.PhoneCallsDisplay</t>
  </si>
  <si>
    <t>MCF.FYLY.GoalConversionsTotal</t>
  </si>
  <si>
    <t>MCF.FYLY.GoalConversionsDirect</t>
  </si>
  <si>
    <t>MCF.FYLY.GoalConversionsOrganicSearch</t>
  </si>
  <si>
    <t>MCF.FYLY.GoalConversionsSocial</t>
  </si>
  <si>
    <t>MCF.FYLY.GoalConversionsEmail</t>
  </si>
  <si>
    <t>MCF.FYLY.GoalConversionsAffiliates</t>
  </si>
  <si>
    <t>MCF.FYLY.GoalConversionsReferral</t>
  </si>
  <si>
    <t>MCF.FYLY.GoalConversionsPaidSearch</t>
  </si>
  <si>
    <t>MCF.FYLY.GoalConversionsOther</t>
  </si>
  <si>
    <t>MCF.FYLY.GoalConversionsDisplay</t>
  </si>
  <si>
    <t>MCF.FYLY.PhoneCallsTotal</t>
  </si>
  <si>
    <t>MCF.FYLY.PhoneCallsDirect</t>
  </si>
  <si>
    <t>MCF.FYLY.PhoneCallsOrganicSearch</t>
  </si>
  <si>
    <t>MCF.FYLY.PhoneCallsSocial</t>
  </si>
  <si>
    <t>MCF.FYLY.PhoneCallsEmail</t>
  </si>
  <si>
    <t>MCF.FYLY.PhoneCallsAffiliates</t>
  </si>
  <si>
    <t>MCF.FYLY.PhoneCallsReferral</t>
  </si>
  <si>
    <t>MCF.FYLY.PhoneCallsPaidSearch</t>
  </si>
  <si>
    <t>MCF.FYLY.PhoneCallsOther</t>
  </si>
  <si>
    <t>MCF.FYLY.PhoneCallsDisplay</t>
  </si>
  <si>
    <t>GA.TW.AllUsers</t>
  </si>
  <si>
    <t>GA.TW.PaidUsers</t>
  </si>
  <si>
    <t>GA.TW.OrganicUsers</t>
  </si>
  <si>
    <t>GA.TW.EmailUsers</t>
  </si>
  <si>
    <t>GA.TW.PPCCost</t>
  </si>
  <si>
    <t>GA.LW.AllUsers</t>
  </si>
  <si>
    <t>GA.LW.PaidUsers</t>
  </si>
  <si>
    <t>GA.LW.OrganicUsers</t>
  </si>
  <si>
    <t>GA.LW.EmailUsers</t>
  </si>
  <si>
    <t>GA.LW.PPCCost</t>
  </si>
  <si>
    <t>GA.TWLY.AllUsers</t>
  </si>
  <si>
    <t>GA.TWLY.PaidUsers</t>
  </si>
  <si>
    <t>GA.TWLY.OrganicUsers</t>
  </si>
  <si>
    <t>GA.TWLY.EmailUsers</t>
  </si>
  <si>
    <t>GA.TWLY.PPCCost</t>
  </si>
  <si>
    <t>GA.TM.AllUsers</t>
  </si>
  <si>
    <t>GA.TM.PaidUsers</t>
  </si>
  <si>
    <t>GA.TM.OrganicUsers</t>
  </si>
  <si>
    <t>GA.TM.EmailUsers</t>
  </si>
  <si>
    <t>GA.TM.PPCCost</t>
  </si>
  <si>
    <t>GA.TMLY.AllUsers</t>
  </si>
  <si>
    <t>GA.TMLY.PaidUsers</t>
  </si>
  <si>
    <t>GA.TMLY.OrganicUsers</t>
  </si>
  <si>
    <t>GA.TMLY.EmailUsers</t>
  </si>
  <si>
    <t>GA.TMLY.PPCCost</t>
  </si>
  <si>
    <t>GA.FY.AllUsers</t>
  </si>
  <si>
    <t>GA.FY.PaidUsers</t>
  </si>
  <si>
    <t>GA.FY.OrganicUsers</t>
  </si>
  <si>
    <t>GA.FY.EmailUsers</t>
  </si>
  <si>
    <t>GA.FY.PPCCost</t>
  </si>
  <si>
    <t>GA.FYLY.AllUsers</t>
  </si>
  <si>
    <t>GA.FYLY.PaidUsers</t>
  </si>
  <si>
    <t>GA.FYLY.OrganicUsers</t>
  </si>
  <si>
    <t>GA.FYLY.EmailUsers</t>
  </si>
  <si>
    <t>GA.FYLY.PPCCost</t>
  </si>
  <si>
    <t>Microsoft.OleDb.Date</t>
  </si>
  <si>
    <t>Mon</t>
  </si>
  <si>
    <t>Monday</t>
  </si>
  <si>
    <t>August</t>
  </si>
  <si>
    <t>Platform</t>
  </si>
  <si>
    <t>Date</t>
  </si>
  <si>
    <t>Spend</t>
  </si>
  <si>
    <t>ISO Year ISO Week</t>
  </si>
  <si>
    <t>Month of Year</t>
  </si>
  <si>
    <t>Financial Year</t>
  </si>
  <si>
    <t>Max date</t>
  </si>
  <si>
    <t>TM</t>
  </si>
  <si>
    <t>TM LY</t>
  </si>
  <si>
    <t>Facebook</t>
  </si>
  <si>
    <t>Bing</t>
  </si>
  <si>
    <t>Criteo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</si>
</sst>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
    <numFmt numFmtId="165" formatCode="&quot;£&quot;#,##0"/>
    <numFmt numFmtId="166" formatCode="&quot;£&quot;#,##0.00"/>
    <numFmt numFmtId="167" formatCode="yyyy\-mm\-dd;@"/>
  </numFmts>
  <fonts count="16">
    <font>
      <sz val="11"/>
      <color theme="1"/>
      <name val="Calibri"/>
      <family val="2"/>
      <scheme val="minor"/>
    </font>
    <font>
      <sz val="11"/>
      <color theme="1"/>
      <name val="Calibri"/>
      <family val="2"/>
    </font>
    <font>
      <i/>
      <sz val="11"/>
      <color theme="1"/>
      <name val="Calibri"/>
      <family val="2"/>
      <scheme val="minor"/>
    </font>
    <font>
      <b/>
      <sz val="14"/>
      <color theme="1"/>
      <name val="Calibri"/>
      <family val="2"/>
      <scheme val="minor"/>
    </font>
    <font>
      <b/>
      <sz val="11"/>
      <color theme="1"/>
      <name val="Calibri"/>
      <family val="2"/>
      <scheme val="minor"/>
    </font>
    <font>
      <b/>
      <sz val="11"/>
      <color theme="0"/>
      <name val="Calibri"/>
      <family val="2"/>
      <scheme val="minor"/>
    </font>
    <font>
      <b/>
      <sz val="10"/>
      <color rgb="FF000000"/>
      <name val="Tahoma"/>
      <family val="2"/>
    </font>
    <font>
      <sz val="10"/>
      <color rgb="FF000000"/>
      <name val="Tahoma"/>
      <family val="2"/>
    </font>
    <font>
      <sz val="5"/>
      <color rgb="FF000000"/>
      <name val="Calibri"/>
      <family val="2"/>
      <scheme val="minor"/>
    </font>
    <font>
      <sz val="11"/>
      <color rgb="FF000000"/>
      <name val="Calibri"/>
      <family val="2"/>
      <scheme val="minor"/>
    </font>
    <font>
      <sz val="10.5"/>
      <color rgb="FF000000"/>
      <name val="Calibri"/>
      <family val="2"/>
      <scheme val="minor"/>
    </font>
    <font>
      <sz val="12"/>
      <color theme="1"/>
      <name val="Calibri"/>
      <family val="2"/>
      <scheme val="minor"/>
    </font>
    <font>
      <sz val="12"/>
      <color theme="0"/>
      <name val="Calibri"/>
      <family val="2"/>
      <scheme val="minor"/>
    </font>
    <font>
      <sz val="11"/>
      <color rgb="FF000000"/>
      <name val="Calibri"/>
      <family val="2"/>
    </font>
    <font>
      <sz val="10"/>
      <name val="Verdana"/>
      <family val="2"/>
    </font>
    <font>
      <b/>
      <sz val="12"/>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theme="4"/>
      </patternFill>
    </fill>
  </fills>
  <borders count="2">
    <border>
      <left/>
      <right/>
      <top/>
      <bottom/>
      <diagonal/>
    </border>
    <border>
      <left style="thin">
        <color rgb="FFBFBFBF"/>
      </left>
      <right style="thin">
        <color rgb="FFBFBFBF"/>
      </right>
      <top style="thin">
        <color rgb="FFBFBFBF"/>
      </top>
      <bottom style="thin">
        <color rgb="FFBFBFBF"/>
      </bottom>
      <diagonal/>
    </border>
  </borders>
  <cellStyleXfs count="3">
    <xf numFmtId="0" fontId="0" fillId="0" borderId="0"/>
    <xf numFmtId="0" fontId="11" fillId="0" borderId="0"/>
    <xf numFmtId="0" fontId="12" fillId="3" borderId="0" applyNumberFormat="0" applyBorder="0" applyAlignment="0" applyProtection="0"/>
  </cellStyleXfs>
  <cellXfs count="43">
    <xf numFmtId="0" fontId="0" fillId="0" borderId="0" xfId="0"/>
    <xf numFmtId="0" fontId="1" fillId="0" borderId="0" xfId="0" applyFont="1" applyAlignment="1">
      <alignment horizontal="left" indent="2"/>
    </xf>
    <xf numFmtId="0" fontId="2" fillId="0" borderId="0" xfId="0" applyFont="1"/>
    <xf numFmtId="0" fontId="3" fillId="0" borderId="0" xfId="0" applyFont="1"/>
    <xf numFmtId="0" fontId="4" fillId="0" borderId="0" xfId="0" applyFont="1" applyAlignment="1">
      <alignment horizontal="left"/>
    </xf>
    <xf numFmtId="164" fontId="1" fillId="0" borderId="0" xfId="0" applyNumberFormat="1" applyFont="1" applyAlignment="1">
      <alignment horizontal="left"/>
    </xf>
    <xf numFmtId="164" fontId="4" fillId="0" borderId="0" xfId="0" applyNumberFormat="1" applyFont="1" applyAlignment="1">
      <alignment horizontal="left"/>
    </xf>
    <xf numFmtId="165" fontId="1" fillId="0" borderId="0" xfId="0" applyNumberFormat="1" applyFont="1" applyAlignment="1">
      <alignment horizontal="left"/>
    </xf>
    <xf numFmtId="3" fontId="1" fillId="0" borderId="0" xfId="0" applyNumberFormat="1" applyFont="1" applyAlignment="1">
      <alignment horizontal="left"/>
    </xf>
    <xf numFmtId="0" fontId="1"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left"/>
    </xf>
    <xf numFmtId="0" fontId="1" fillId="0" borderId="0" xfId="0" applyFont="1"/>
    <xf numFmtId="0" fontId="5" fillId="2" borderId="0" xfId="0" applyFont="1" applyFill="1"/>
    <xf numFmtId="0" fontId="0" fillId="0" borderId="0" xfId="0" applyAlignment="1">
      <alignment horizontal="left"/>
    </xf>
    <xf numFmtId="165" fontId="0" fillId="0" borderId="0" xfId="0" applyNumberFormat="1" applyAlignment="1">
      <alignment horizontal="left"/>
    </xf>
    <xf numFmtId="3" fontId="0" fillId="0" borderId="0" xfId="0" applyNumberFormat="1" applyFont="1" applyAlignment="1">
      <alignment horizontal="left"/>
    </xf>
    <xf numFmtId="166" fontId="0" fillId="0" borderId="0" xfId="0" applyNumberFormat="1" applyFont="1" applyAlignment="1">
      <alignment horizontal="left"/>
    </xf>
    <xf numFmtId="165" fontId="0" fillId="0" borderId="0" xfId="0" applyNumberFormat="1" applyFont="1" applyAlignment="1">
      <alignment horizontal="left"/>
    </xf>
    <xf numFmtId="3" fontId="0" fillId="0" borderId="0" xfId="0" applyNumberFormat="1" applyAlignment="1">
      <alignment horizontal="left"/>
    </xf>
    <xf numFmtId="167" fontId="13" fillId="0" borderId="0" xfId="1" applyNumberFormat="1" applyFont="1" applyBorder="1" applyAlignment="1">
      <alignment vertical="top"/>
    </xf>
    <xf numFmtId="166" fontId="13" fillId="0" borderId="0" xfId="1" applyNumberFormat="1" applyFont="1" applyBorder="1" applyAlignment="1">
      <alignment vertical="top"/>
    </xf>
    <xf numFmtId="0" fontId="11" fillId="0" borderId="0" xfId="1" applyBorder="1" applyAlignment="1"/>
    <xf numFmtId="167" fontId="11" fillId="0" borderId="0" xfId="1" applyNumberFormat="1" applyBorder="1" applyAlignment="1"/>
    <xf numFmtId="166" fontId="11" fillId="0" borderId="0" xfId="1" applyNumberFormat="1" applyBorder="1" applyAlignment="1"/>
    <xf numFmtId="2" fontId="11" fillId="0" borderId="0" xfId="1" applyNumberFormat="1" applyBorder="1" applyAlignment="1"/>
    <xf numFmtId="167" fontId="11" fillId="0" borderId="0" xfId="1" applyNumberFormat="1" applyFont="1" applyFill="1" applyBorder="1" applyAlignment="1" applyProtection="1"/>
    <xf numFmtId="166" fontId="14" fillId="0" borderId="0" xfId="1" applyNumberFormat="1" applyFont="1" applyFill="1" applyBorder="1" applyAlignment="1" applyProtection="1"/>
    <xf numFmtId="0" fontId="11" fillId="0" borderId="0" xfId="1" applyFill="1" applyBorder="1" applyAlignment="1"/>
    <xf numFmtId="167" fontId="11" fillId="0" borderId="1" xfId="1" applyNumberFormat="1" applyFont="1" applyFill="1" applyBorder="1" applyAlignment="1" applyProtection="1"/>
    <xf numFmtId="166" fontId="14" fillId="0" borderId="1" xfId="1" applyNumberFormat="1" applyFont="1" applyFill="1" applyBorder="1" applyAlignment="1" applyProtection="1"/>
    <xf numFmtId="167" fontId="11" fillId="0" borderId="0" xfId="1" applyNumberFormat="1"/>
    <xf numFmtId="167" fontId="11" fillId="0" borderId="1" xfId="1" applyNumberFormat="1" applyBorder="1" applyAlignment="1"/>
    <xf numFmtId="167" fontId="13" fillId="0" borderId="1" xfId="1" applyNumberFormat="1" applyFont="1" applyBorder="1" applyAlignment="1">
      <alignment vertical="top"/>
    </xf>
    <xf numFmtId="166" fontId="11" fillId="0" borderId="1" xfId="1" applyNumberFormat="1" applyBorder="1" applyAlignment="1"/>
    <xf numFmtId="166" fontId="13" fillId="0" borderId="1" xfId="1" applyNumberFormat="1" applyFont="1" applyBorder="1" applyAlignment="1">
      <alignment vertical="top"/>
    </xf>
    <xf numFmtId="0" fontId="15" fillId="0" borderId="0" xfId="1" applyFont="1" applyFill="1" applyBorder="1" applyAlignment="1"/>
    <xf numFmtId="167" fontId="15" fillId="0" borderId="0" xfId="2" applyNumberFormat="1" applyFont="1" applyFill="1" applyBorder="1" applyAlignment="1"/>
    <xf numFmtId="166" fontId="15" fillId="0" borderId="0" xfId="2" applyNumberFormat="1" applyFont="1" applyFill="1" applyBorder="1" applyAlignment="1"/>
    <xf numFmtId="0" fontId="15" fillId="0" borderId="0" xfId="1" applyFont="1"/>
    <xf numFmtId="166" fontId="11" fillId="0" borderId="0" xfId="1" applyNumberFormat="1"/>
    <xf numFmtId="0" fontId="11" fillId="0" borderId="0" xfId="1" applyNumberFormat="1"/>
    <xf numFmtId="0" fontId="11" fillId="0" borderId="0" xfId="1"/>
  </cellXfs>
  <cellStyles count="3">
    <cellStyle name="Accent1 2" xfId="2" xr:uid="{EB96111B-0C14-4672-ABB5-F6A40D67F160}"/>
    <cellStyle name="Normal" xfId="0" builtinId="0"/>
    <cellStyle name="Normal 2" xfId="1" xr:uid="{BBB27430-82E5-495F-A34B-8DD0AAC01EC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95"/>
  <sheetViews>
    <sheetView workbookViewId="0">
      <pane ySplit="2" topLeftCell="A3" activePane="bottomLeft" state="frozen"/>
      <selection pane="bottomLeft"/>
    </sheetView>
  </sheetViews>
  <sheetFormatPr defaultColWidth="8.85546875" defaultRowHeight="15"/>
  <cols>
    <col min="1" max="1" width="46.85546875" customWidth="1"/>
    <col min="2" max="2" width="9.140625" style="14"/>
    <col min="3" max="13" width="13" style="14" customWidth="1"/>
    <col min="14" max="15" width="13.85546875" style="14" bestFit="1" customWidth="1"/>
    <col min="16" max="16" width="9.7109375" style="14" bestFit="1" customWidth="1"/>
  </cols>
  <sheetData>
    <row r="1" spans="1:16" ht="18.75" customHeight="1">
      <c r="A1" s="3" t="str">
        <f>IF(Sheet2!A2&gt;0,CONCATENATE("Week beginning ",Sheet2!K2," ",Sheet2!H2," ",Sheet2!D2," - Departing in ",IF(IFERROR(HLOOKUP("YearFlag",Sheet2!$1:$2,2,FALSE),"TY")="NY",Sheet2!D2+1,Sheet2!D2)),"MASTER")</f>
        <v>Week beginning 12 August 2019 - Departing in 2019</v>
      </c>
    </row>
    <row r="2" spans="1:16">
      <c r="C2" s="4" t="s">
        <v>0</v>
      </c>
      <c r="D2" s="4" t="s">
        <v>1</v>
      </c>
      <c r="E2" s="6" t="s">
        <v>2</v>
      </c>
      <c r="F2" s="4" t="s">
        <v>3</v>
      </c>
      <c r="G2" s="6" t="s">
        <v>4</v>
      </c>
      <c r="H2" s="4" t="s">
        <v>5</v>
      </c>
      <c r="I2" s="4" t="s">
        <v>6</v>
      </c>
      <c r="J2" s="6" t="s">
        <v>7</v>
      </c>
      <c r="K2" s="4" t="s">
        <v>8</v>
      </c>
      <c r="L2" s="4" t="s">
        <v>9</v>
      </c>
      <c r="M2" s="6" t="s">
        <v>10</v>
      </c>
      <c r="N2" s="4" t="s">
        <v>11</v>
      </c>
      <c r="O2" s="4" t="s">
        <v>12</v>
      </c>
      <c r="P2" s="4" t="s">
        <v>10</v>
      </c>
    </row>
    <row r="3" spans="1:16">
      <c r="A3" s="10" t="s">
        <v>13</v>
      </c>
      <c r="C3" s="4"/>
      <c r="D3" s="4"/>
      <c r="E3" s="6"/>
      <c r="F3" s="4"/>
      <c r="G3" s="6"/>
      <c r="H3" s="4"/>
      <c r="I3" s="4"/>
      <c r="J3" s="6"/>
      <c r="K3" s="4"/>
      <c r="L3" s="4"/>
      <c r="M3" s="6"/>
      <c r="N3" s="4"/>
      <c r="O3" s="4"/>
      <c r="P3" s="4"/>
    </row>
    <row r="4" spans="1:16">
      <c r="A4" t="s">
        <v>14</v>
      </c>
      <c r="C4" s="16">
        <f>HLOOKUP("GA.TW.AllUsers",Sheet2!$1:$2,2,FALSE)</f>
        <v>27767</v>
      </c>
      <c r="D4" s="16">
        <f>HLOOKUP("GA.LW.AllUsers",Sheet2!$1:$2,2,FALSE)</f>
        <v>26141</v>
      </c>
      <c r="E4" s="5">
        <f t="shared" ref="E4:E12" si="0">IFERROR((C4-D4)/D4,0)</f>
        <v>6.2201139971691979E-2</v>
      </c>
      <c r="F4" s="16">
        <f>HLOOKUP("GA.TWLY.AllUsers",Sheet2!$1:$2,2,FALSE)</f>
        <v>20859</v>
      </c>
      <c r="G4" s="5">
        <f t="shared" ref="G4:G12" si="1">IFERROR((C4-F4)/F4,0)</f>
        <v>0.33117599117886765</v>
      </c>
      <c r="H4" s="16">
        <f>HLOOKUP("GA.TM.AllUsers",Sheet2!$1:$2,2,FALSE)</f>
        <v>62707</v>
      </c>
      <c r="I4" s="16">
        <f>HLOOKUP("GA.TMLY.AllUsers",Sheet2!$1:$2,2,FALSE)</f>
        <v>50953</v>
      </c>
      <c r="J4" s="5">
        <f t="shared" ref="J4:J12" si="2">IFERROR((H4-I4)/I4,0)</f>
        <v>0.2306831786155869</v>
      </c>
      <c r="K4" s="16">
        <f>HLOOKUP("GA.FY.AllUsers",Sheet2!$1:$2,2,FALSE)</f>
        <v>686126</v>
      </c>
      <c r="L4" s="16">
        <f>HLOOKUP("GA.FYLY.AllUsers",Sheet2!$1:$2,2,FALSE)</f>
        <v>657960</v>
      </c>
      <c r="M4" s="5">
        <f t="shared" ref="M4:M12" si="3">IFERROR((K4-L4)/L4,0)</f>
        <v>4.2808073439114837E-2</v>
      </c>
      <c r="N4" s="16">
        <f>HLOOKUP("GA.FY.AllUsers",Sheet2!$1:$2,2,FALSE)</f>
        <v>686126</v>
      </c>
      <c r="O4" s="16">
        <f>HLOOKUP("GA.FYLY.AllUsers",Sheet2!$1:$2,2,FALSE)</f>
        <v>657960</v>
      </c>
      <c r="P4" s="5">
        <f t="shared" ref="P4:P12" si="4">IFERROR((N4-O4)/O4,0)</f>
        <v>4.2808073439114837E-2</v>
      </c>
    </row>
    <row r="5" spans="1:16">
      <c r="A5" s="1" t="s">
        <v>15</v>
      </c>
      <c r="C5" s="16">
        <f>HLOOKUP("GA.TW.PaidUsers",Sheet2!$1:$2,2,FALSE)</f>
        <v>10826</v>
      </c>
      <c r="D5" s="16">
        <f>HLOOKUP("GA.LW.PaidUsers",Sheet2!$1:$2,2,FALSE)</f>
        <v>13366</v>
      </c>
      <c r="E5" s="5">
        <f t="shared" si="0"/>
        <v>-0.19003441568158014</v>
      </c>
      <c r="F5" s="16">
        <f>HLOOKUP("GA.TWLY.PaidUsers",Sheet2!$1:$2,2,FALSE)</f>
        <v>9566</v>
      </c>
      <c r="G5" s="5">
        <f t="shared" si="1"/>
        <v>0.13171649592306084</v>
      </c>
      <c r="H5" s="16">
        <f>HLOOKUP("GA.TM.PaidUsers",Sheet2!$1:$2,2,FALSE)</f>
        <v>29615</v>
      </c>
      <c r="I5" s="16">
        <f>HLOOKUP("GA.TMLY.PaidUsers",Sheet2!$1:$2,2,FALSE)</f>
        <v>25132</v>
      </c>
      <c r="J5" s="5">
        <f t="shared" si="2"/>
        <v>0.17837816329778769</v>
      </c>
      <c r="K5" s="16">
        <f>HLOOKUP("GA.FY.PaidUsers",Sheet2!$1:$2,2,FALSE)</f>
        <v>354214</v>
      </c>
      <c r="L5" s="16">
        <f>HLOOKUP("GA.FYLY.PaidUsers",Sheet2!$1:$2,2,FALSE)</f>
        <v>377570</v>
      </c>
      <c r="M5" s="5">
        <f t="shared" si="3"/>
        <v>-6.1858728182853512E-2</v>
      </c>
      <c r="N5" s="16">
        <f>HLOOKUP("GA.FY.PaidUsers",Sheet2!$1:$2,2,FALSE)</f>
        <v>354214</v>
      </c>
      <c r="O5" s="16">
        <f>HLOOKUP("GA.FYLY.PaidUsers",Sheet2!$1:$2,2,FALSE)</f>
        <v>377570</v>
      </c>
      <c r="P5" s="5">
        <f t="shared" si="4"/>
        <v>-6.1858728182853512E-2</v>
      </c>
    </row>
    <row r="6" spans="1:16">
      <c r="A6" s="1" t="s">
        <v>16</v>
      </c>
      <c r="C6" s="16">
        <f>HLOOKUP("GA.TW.OrganicUsers",Sheet2!$1:$2,2,FALSE)</f>
        <v>6574</v>
      </c>
      <c r="D6" s="16">
        <f>HLOOKUP("GA.LW.OrganicUsers",Sheet2!$1:$2,2,FALSE)</f>
        <v>7680</v>
      </c>
      <c r="E6" s="5">
        <f t="shared" si="0"/>
        <v>-0.14401041666666667</v>
      </c>
      <c r="F6" s="16">
        <f>HLOOKUP("GA.TWLY.OrganicUsers",Sheet2!$1:$2,2,FALSE)</f>
        <v>6579</v>
      </c>
      <c r="G6" s="5">
        <f t="shared" si="1"/>
        <v>-7.5999392004863964E-4</v>
      </c>
      <c r="H6" s="16">
        <f>HLOOKUP("GA.TM.OrganicUsers",Sheet2!$1:$2,2,FALSE)</f>
        <v>16898</v>
      </c>
      <c r="I6" s="16">
        <f>HLOOKUP("GA.TMLY.OrganicUsers",Sheet2!$1:$2,2,FALSE)</f>
        <v>16346</v>
      </c>
      <c r="J6" s="5">
        <f t="shared" si="2"/>
        <v>3.3769729597455035E-2</v>
      </c>
      <c r="K6" s="16">
        <f>HLOOKUP("GA.FY.OrganicUsers",Sheet2!$1:$2,2,FALSE)</f>
        <v>178557</v>
      </c>
      <c r="L6" s="16">
        <f>HLOOKUP("GA.FYLY.OrganicUsers",Sheet2!$1:$2,2,FALSE)</f>
        <v>156660</v>
      </c>
      <c r="M6" s="5">
        <f t="shared" si="3"/>
        <v>0.13977403293757182</v>
      </c>
      <c r="N6" s="16">
        <f>HLOOKUP("GA.FY.OrganicUsers",Sheet2!$1:$2,2,FALSE)</f>
        <v>178557</v>
      </c>
      <c r="O6" s="16">
        <f>HLOOKUP("GA.FYLY.OrganicUsers",Sheet2!$1:$2,2,FALSE)</f>
        <v>156660</v>
      </c>
      <c r="P6" s="5">
        <f t="shared" si="4"/>
        <v>0.13977403293757182</v>
      </c>
    </row>
    <row r="7" spans="1:16">
      <c r="A7" s="1" t="s">
        <v>17</v>
      </c>
      <c r="C7" s="16">
        <f>HLOOKUP("GA.TW.EmailUsers",Sheet2!$1:$2,2,FALSE)</f>
        <v>3565</v>
      </c>
      <c r="D7" s="16">
        <f>HLOOKUP("GA.LW.EmailUsers",Sheet2!$1:$2,2,FALSE)</f>
        <v>1167</v>
      </c>
      <c r="E7" s="5">
        <f t="shared" si="0"/>
        <v>2.0548414738646099</v>
      </c>
      <c r="F7" s="16">
        <f>HLOOKUP("GA.TWLY.EmailUsers",Sheet2!$1:$2,2,FALSE)</f>
        <v>1074</v>
      </c>
      <c r="G7" s="5">
        <f t="shared" si="1"/>
        <v>2.319366852886406</v>
      </c>
      <c r="H7" s="16">
        <f>HLOOKUP("GA.TM.EmailUsers",Sheet2!$1:$2,2,FALSE)</f>
        <v>4911</v>
      </c>
      <c r="I7" s="16">
        <f>HLOOKUP("GA.TMLY.EmailUsers",Sheet2!$1:$2,2,FALSE)</f>
        <v>1526</v>
      </c>
      <c r="J7" s="5">
        <f t="shared" si="2"/>
        <v>2.2182175622542597</v>
      </c>
      <c r="K7" s="16">
        <f>HLOOKUP("GA.FY.EmailUsers",Sheet2!$1:$2,2,FALSE)</f>
        <v>34605</v>
      </c>
      <c r="L7" s="16">
        <f>HLOOKUP("GA.FYLY.EmailUsers",Sheet2!$1:$2,2,FALSE)</f>
        <v>30454</v>
      </c>
      <c r="M7" s="5">
        <f t="shared" si="3"/>
        <v>0.13630393380179945</v>
      </c>
      <c r="N7" s="16">
        <f>HLOOKUP("GA.FY.EmailUsers",Sheet2!$1:$2,2,FALSE)</f>
        <v>34605</v>
      </c>
      <c r="O7" s="16">
        <f>HLOOKUP("GA.FYLY.EmailUsers",Sheet2!$1:$2,2,FALSE)</f>
        <v>30454</v>
      </c>
      <c r="P7" s="5">
        <f t="shared" si="4"/>
        <v>0.13630393380179945</v>
      </c>
    </row>
    <row r="8" spans="1:16">
      <c r="A8" t="s">
        <v>18</v>
      </c>
      <c r="C8" s="16">
        <f>HLOOKUP("MCF.TW.GoalConversionsTotal",Sheet2!$1:$2,2,FALSE)</f>
        <v>874</v>
      </c>
      <c r="D8" s="16">
        <f>HLOOKUP("MCF.LW.GoalConversionsTotal",Sheet2!$1:$2,2,FALSE)</f>
        <v>1169</v>
      </c>
      <c r="E8" s="5">
        <f t="shared" si="0"/>
        <v>-0.25235243798118051</v>
      </c>
      <c r="F8" s="16">
        <f>HLOOKUP("MCF.TWLY.GoalConversionsTotal",Sheet2!$1:$2,2,FALSE)</f>
        <v>689</v>
      </c>
      <c r="G8" s="5">
        <f t="shared" si="1"/>
        <v>0.26850507982583455</v>
      </c>
      <c r="H8" s="16">
        <f>HLOOKUP("MCF.TM.GoalConversionsTotal",Sheet2!$1:$2,2,FALSE)</f>
        <v>2418</v>
      </c>
      <c r="I8" s="16">
        <f>HLOOKUP("MCF.TMLY.GoalConversionsTotal",Sheet2!$1:$2,2,FALSE)</f>
        <v>2358</v>
      </c>
      <c r="J8" s="5">
        <f t="shared" si="2"/>
        <v>2.5445292620865138E-2</v>
      </c>
      <c r="K8" s="16">
        <f>HLOOKUP("MCF.FY.GoalConversionsTotal",Sheet2!$1:$2,2,FALSE)</f>
        <v>25070</v>
      </c>
      <c r="L8" s="16">
        <f>HLOOKUP("MCF.FYLY.GoalConversionsTotal",Sheet2!$1:$2,2,FALSE)</f>
        <v>28614</v>
      </c>
      <c r="M8" s="5">
        <f t="shared" si="3"/>
        <v>-0.12385545537149648</v>
      </c>
      <c r="N8" s="16">
        <f>HLOOKUP("MCF.FY.GoalConversionsTotal",Sheet2!$1:$2,2,FALSE)</f>
        <v>25070</v>
      </c>
      <c r="O8" s="16">
        <f>HLOOKUP("MCF.FYLY.GoalConversionsTotal",Sheet2!$1:$2,2,FALSE)</f>
        <v>28614</v>
      </c>
      <c r="P8" s="5">
        <f t="shared" si="4"/>
        <v>-0.12385545537149648</v>
      </c>
    </row>
    <row r="9" spans="1:16">
      <c r="A9" s="1" t="s">
        <v>19</v>
      </c>
      <c r="C9" s="16">
        <f>HLOOKUP("MCF.TW.GoalConversionsPaidSearch",Sheet2!$1:$2,2,FALSE)+HLOOKUP("MCF.TW.GoalConversionsDisplay",Sheet2!$1:$2,2,FALSE)</f>
        <v>207.12874281005099</v>
      </c>
      <c r="D9" s="16">
        <f>HLOOKUP("MCF.LW.GoalConversionsPaidSearch",Sheet2!$1:$2,2,FALSE)+HLOOKUP("MCF.LW.GoalConversionsDisplay",Sheet2!$1:$2,2,FALSE)</f>
        <v>359.49611280365531</v>
      </c>
      <c r="E9" s="5">
        <f t="shared" si="0"/>
        <v>-0.42383593192514502</v>
      </c>
      <c r="F9" s="16">
        <f>HLOOKUP("MCF.TWLY.GoalConversionsPaidSearch",Sheet2!$1:$2,2,FALSE)+HLOOKUP("MCF.TWLY.GoalConversionsDisplay",Sheet2!$1:$2,2,FALSE)</f>
        <v>193.61447505305901</v>
      </c>
      <c r="G9" s="5">
        <f t="shared" si="1"/>
        <v>6.9799883264350313E-2</v>
      </c>
      <c r="H9" s="16">
        <f>HLOOKUP("MCF.TM.GoalConversionsPaidSearch",Sheet2!$1:$2,2,FALSE)+HLOOKUP("MCF.TM.GoalConversionsDisplay",Sheet2!$1:$2,2,FALSE)</f>
        <v>671.48663827548933</v>
      </c>
      <c r="I9" s="16">
        <f>HLOOKUP("MCF.TMLY.GoalConversionsPaidSearch",Sheet2!$1:$2,2,FALSE)+HLOOKUP("MCF.TMLY.GoalConversionsDisplay",Sheet2!$1:$2,2,FALSE)</f>
        <v>639.859372920032</v>
      </c>
      <c r="J9" s="5">
        <f t="shared" si="2"/>
        <v>4.9428463024812207E-2</v>
      </c>
      <c r="K9" s="16">
        <f>HLOOKUP("MCF.FY.GoalConversionsPaidSearch",Sheet2!$1:$2,2,FALSE)+HLOOKUP("MCF.FY.GoalConversionsDisplay",Sheet2!$1:$2,2,FALSE)</f>
        <v>6492.4503093485764</v>
      </c>
      <c r="L9" s="16">
        <f>HLOOKUP("MCF.FYLY.GoalConversionsPaidSearch",Sheet2!$1:$2,2,FALSE)+HLOOKUP("MCF.FYLY.GoalConversionsDisplay",Sheet2!$1:$2,2,FALSE)</f>
        <v>8475.1535703905156</v>
      </c>
      <c r="M9" s="5">
        <f t="shared" si="3"/>
        <v>-0.23394304829695031</v>
      </c>
      <c r="N9" s="16">
        <f>HLOOKUP("MCF.FY.GoalConversionsPaidSearch",Sheet2!$1:$2,2,FALSE)+HLOOKUP("MCF.FY.GoalConversionsDisplay",Sheet2!$1:$2,2,FALSE)</f>
        <v>6492.4503093485764</v>
      </c>
      <c r="O9" s="16">
        <f>HLOOKUP("MCF.FYLY.GoalConversionsPaidSearch",Sheet2!$1:$2,2,FALSE)+HLOOKUP("MCF.FYLY.GoalConversionsDisplay",Sheet2!$1:$2,2,FALSE)</f>
        <v>8475.1535703905156</v>
      </c>
      <c r="P9" s="5">
        <f t="shared" si="4"/>
        <v>-0.23394304829695031</v>
      </c>
    </row>
    <row r="10" spans="1:16">
      <c r="A10" s="9" t="s">
        <v>20</v>
      </c>
      <c r="C10" s="18">
        <f ca="1">HLOOKUP("GA.TW.PPCCost",Sheet2!$1:$2,2,FALSE)+Sheet3!I3</f>
        <v>7822.3408380000001</v>
      </c>
      <c r="D10" s="18">
        <f ca="1">HLOOKUP("GA.LW.PPCCost",Sheet2!$1:$2,2,FALSE)+Sheet3!J3</f>
        <v>8097.5315609999998</v>
      </c>
      <c r="E10" s="5">
        <f t="shared" ca="1" si="0"/>
        <v>-3.3984519964750243E-2</v>
      </c>
      <c r="F10" s="18">
        <f ca="1">HLOOKUP("GA.TWLY.PPCCost",Sheet2!$1:$2,2,FALSE)+Sheet3!K3</f>
        <v>6455.33</v>
      </c>
      <c r="G10" s="5">
        <f t="shared" ca="1" si="1"/>
        <v>0.21176467167441482</v>
      </c>
      <c r="H10" s="18">
        <f ca="1">HLOOKUP("GA.TM.PPCCost",Sheet2!$1:$2,2,FALSE)+Sheet3!L3</f>
        <v>20404.493880000002</v>
      </c>
      <c r="I10" s="18">
        <f ca="1">HLOOKUP("GA.TMLY.PPCCost",Sheet2!$1:$2,2,FALSE)+Sheet3!M3</f>
        <v>18281.21</v>
      </c>
      <c r="J10" s="5">
        <f t="shared" ca="1" si="2"/>
        <v>0.1161456971393033</v>
      </c>
      <c r="K10" s="18">
        <f ca="1">HLOOKUP("GA.FY.PPCCost",Sheet2!$1:$2,2,FALSE)+Sheet3!N3</f>
        <v>493784.93614695477</v>
      </c>
      <c r="L10" s="18">
        <f ca="1">HLOOKUP("GA.FYLY.PPCCost",Sheet2!$1:$2,2,FALSE)+Sheet3!O3</f>
        <v>442888.45232799998</v>
      </c>
      <c r="M10" s="5">
        <f t="shared" ca="1" si="3"/>
        <v>0.11491941944167292</v>
      </c>
      <c r="N10" s="18">
        <f ca="1">HLOOKUP("GA.FY.PPCCost",Sheet2!$1:$2,2,FALSE)+Sheet3!N3</f>
        <v>493784.93614695477</v>
      </c>
      <c r="O10" s="18">
        <f ca="1">HLOOKUP("GA.FYLY.PPCCost",Sheet2!$1:$2,2,FALSE)+Sheet3!O3</f>
        <v>442888.45232799998</v>
      </c>
      <c r="P10" s="5">
        <f t="shared" ca="1" si="4"/>
        <v>0.11491941944167292</v>
      </c>
    </row>
    <row r="11" spans="1:16">
      <c r="A11" t="s">
        <v>21</v>
      </c>
      <c r="C11" s="16">
        <f>HLOOKUP("MCF.TW.PhoneCallsPaidSearch",Sheet2!$1:$2,2,FALSE)+HLOOKUP("MCF.TW.PhoneCallsDisplay",Sheet2!$1:$2,2,FALSE)</f>
        <v>147.912502033284</v>
      </c>
      <c r="D11" s="16">
        <f>HLOOKUP("MCF.LW.PhoneCallsPaidSearch",Sheet2!$1:$2,2,FALSE)+HLOOKUP("MCF.LW.PhoneCallsDisplay",Sheet2!$1:$2,2,FALSE)</f>
        <v>281.38966843103429</v>
      </c>
      <c r="E11" s="5">
        <f t="shared" si="0"/>
        <v>-0.4743499188935722</v>
      </c>
      <c r="F11" s="16">
        <f>HLOOKUP("MCF.TWLY.PhoneCallsPaidSearch",Sheet2!$1:$2,2,FALSE)+HLOOKUP("MCF.TWLY.PhoneCallsDisplay",Sheet2!$1:$2,2,FALSE)</f>
        <v>151.830674866317</v>
      </c>
      <c r="G11" s="5">
        <f t="shared" si="1"/>
        <v>-2.5806200469587901E-2</v>
      </c>
      <c r="H11" s="16">
        <f>HLOOKUP("MCF.TM.PhoneCallsPaidSearch",Sheet2!$1:$2,2,FALSE)+HLOOKUP("MCF.TM.PhoneCallsDisplay",Sheet2!$1:$2,2,FALSE)</f>
        <v>498.52784201498929</v>
      </c>
      <c r="I11" s="16">
        <f>HLOOKUP("MCF.TMLY.PhoneCallsPaidSearch",Sheet2!$1:$2,2,FALSE)+HLOOKUP("MCF.TMLY.PhoneCallsDisplay",Sheet2!$1:$2,2,FALSE)</f>
        <v>508.41678008302199</v>
      </c>
      <c r="J11" s="5">
        <f t="shared" si="2"/>
        <v>-1.9450455719454984E-2</v>
      </c>
      <c r="K11" s="16">
        <f>HLOOKUP("MCF.FY.PhoneCallsPaidSearch",Sheet2!$1:$2,2,FALSE)+HLOOKUP("MCF.FY.PhoneCallsDisplay",Sheet2!$1:$2,2,FALSE)</f>
        <v>4561.8673258176768</v>
      </c>
      <c r="L11" s="16">
        <f>HLOOKUP("MCF.FYLY.PhoneCallsPaidSearch",Sheet2!$1:$2,2,FALSE)+HLOOKUP("MCF.FYLY.PhoneCallsDisplay",Sheet2!$1:$2,2,FALSE)</f>
        <v>6262.2040190283369</v>
      </c>
      <c r="M11" s="5">
        <f t="shared" si="3"/>
        <v>-0.27152368208445715</v>
      </c>
      <c r="N11" s="16">
        <f>HLOOKUP("MCF.FY.PhoneCallsPaidSearch",Sheet2!$1:$2,2,FALSE)+HLOOKUP("MCF.FY.PhoneCallsDisplay",Sheet2!$1:$2,2,FALSE)</f>
        <v>4561.8673258176768</v>
      </c>
      <c r="O11" s="16">
        <f>HLOOKUP("MCF.FYLY.PhoneCallsPaidSearch",Sheet2!$1:$2,2,FALSE)+HLOOKUP("MCF.FYLY.PhoneCallsDisplay",Sheet2!$1:$2,2,FALSE)</f>
        <v>6262.2040190283369</v>
      </c>
      <c r="P11" s="5">
        <f t="shared" si="4"/>
        <v>-0.27152368208445715</v>
      </c>
    </row>
    <row r="12" spans="1:16">
      <c r="A12" t="s">
        <v>22</v>
      </c>
      <c r="C12" s="17">
        <f ca="1">C10/C8</f>
        <v>8.9500467254004583</v>
      </c>
      <c r="D12" s="17">
        <f ca="1">D10/D8</f>
        <v>6.926887562874251</v>
      </c>
      <c r="E12" s="5">
        <f t="shared" ca="1" si="0"/>
        <v>0.29207333656888684</v>
      </c>
      <c r="F12" s="17">
        <f t="shared" ref="F12:O12" ca="1" si="5">F10/F8</f>
        <v>9.3691291727140786</v>
      </c>
      <c r="G12" s="5">
        <f t="shared" ca="1" si="1"/>
        <v>-4.4730138691451003E-2</v>
      </c>
      <c r="H12" s="17">
        <f t="shared" ca="1" si="5"/>
        <v>8.4385830769230772</v>
      </c>
      <c r="I12" s="17">
        <f t="shared" ca="1" si="5"/>
        <v>7.7528456318914332</v>
      </c>
      <c r="J12" s="5">
        <f t="shared" ca="1" si="2"/>
        <v>8.8449774133365175E-2</v>
      </c>
      <c r="K12" s="17">
        <f t="shared" ca="1" si="5"/>
        <v>19.696247951613671</v>
      </c>
      <c r="L12" s="17">
        <f t="shared" ca="1" si="5"/>
        <v>15.478033561473405</v>
      </c>
      <c r="M12" s="5">
        <f t="shared" ca="1" si="3"/>
        <v>0.27252908926621561</v>
      </c>
      <c r="N12" s="17">
        <f t="shared" ca="1" si="5"/>
        <v>19.696247951613671</v>
      </c>
      <c r="O12" s="17">
        <f t="shared" ca="1" si="5"/>
        <v>15.478033561473405</v>
      </c>
      <c r="P12" s="5">
        <f t="shared" ca="1" si="4"/>
        <v>0.27252908926621561</v>
      </c>
    </row>
    <row r="13" spans="1:16">
      <c r="C13" s="4"/>
      <c r="D13" s="4"/>
      <c r="E13" s="5"/>
      <c r="F13" s="4"/>
      <c r="G13" s="5"/>
      <c r="H13" s="4"/>
      <c r="I13" s="4"/>
      <c r="J13" s="5"/>
      <c r="K13" s="4"/>
      <c r="L13" s="4"/>
      <c r="M13" s="5"/>
      <c r="N13" s="4"/>
      <c r="O13" s="4"/>
      <c r="P13" s="5"/>
    </row>
    <row r="14" spans="1:16">
      <c r="A14" s="10" t="s">
        <v>23</v>
      </c>
      <c r="E14" s="5"/>
      <c r="G14" s="5"/>
      <c r="J14" s="5"/>
      <c r="M14" s="5"/>
      <c r="P14" s="5"/>
    </row>
    <row r="15" spans="1:16">
      <c r="A15" s="9" t="s">
        <v>24</v>
      </c>
      <c r="C15" s="19">
        <f>HLOOKUP("QuotedTW.EnquiryBookingSalesCentre",Sheet2!$1:$2,2,FALSE)</f>
        <v>175</v>
      </c>
      <c r="D15" s="19">
        <f>HLOOKUP("QuotedLW.EnquiryBookingSalesCentre",Sheet2!$1:$2,2,FALSE)</f>
        <v>172</v>
      </c>
      <c r="E15" s="5">
        <f t="shared" ref="E15:E28" si="6">IFERROR((C15-D15)/D15,0)</f>
        <v>1.7441860465116279E-2</v>
      </c>
      <c r="F15" s="19">
        <f>HLOOKUP("QuotedTWLY.EnquiryBookingSalesCentre",Sheet2!$1:$2,2,FALSE)</f>
        <v>82</v>
      </c>
      <c r="G15" s="5">
        <f t="shared" ref="G15:G28" si="7">IFERROR((C15-F15)/F15,0)</f>
        <v>1.1341463414634145</v>
      </c>
      <c r="H15" s="19">
        <f>HLOOKUP("QuotedTM.EnquiryBookingSalesCentre",Sheet2!$1:$2,2,FALSE)</f>
        <v>438</v>
      </c>
      <c r="I15" s="19">
        <f>HLOOKUP("QuotedTMLY.EnquiryBookingSalesCentre",Sheet2!$1:$2,2,FALSE)</f>
        <v>252</v>
      </c>
      <c r="J15" s="5">
        <f t="shared" ref="J15:J28" si="8">IFERROR((H15-I15)/I15,0)</f>
        <v>0.73809523809523814</v>
      </c>
      <c r="K15" s="19">
        <f>HLOOKUP("QuotedTY.EnquiryBookingSalesCentre",Sheet2!$1:$2,2,FALSE)</f>
        <v>5605</v>
      </c>
      <c r="L15" s="19">
        <f>HLOOKUP("QuotedLY.EnquiryBookingSalesCentre",Sheet2!$1:$2,2,FALSE)</f>
        <v>4450</v>
      </c>
      <c r="M15" s="5">
        <f t="shared" ref="M15:M28" si="9">IFERROR((K15-L15)/L15,0)</f>
        <v>0.25955056179775282</v>
      </c>
      <c r="N15" s="19">
        <f>HLOOKUP("DepartureYearTY.EnquiryBookingSalesCentre",Sheet2!$1:$2,2,FALSE)</f>
        <v>5504</v>
      </c>
      <c r="O15" s="19">
        <f>HLOOKUP("DepartureYearLY.EnquiryBookingSalesCentre",Sheet2!$1:$2,2,FALSE)</f>
        <v>4627</v>
      </c>
      <c r="P15" s="5">
        <f t="shared" ref="P15:P28" si="10">IFERROR((N15-O15)/O15,0)</f>
        <v>0.18953965852604279</v>
      </c>
    </row>
    <row r="16" spans="1:16">
      <c r="A16" s="9" t="s">
        <v>25</v>
      </c>
      <c r="C16" s="14">
        <f>HLOOKUP("OptionedTW.LiveOptionBooking",Sheet2!$1:$2,2,FALSE)</f>
        <v>49</v>
      </c>
      <c r="D16" s="14">
        <f>HLOOKUP("OptionedLW.LiveOptionBooking",Sheet2!$1:$2,2,FALSE)</f>
        <v>33</v>
      </c>
      <c r="E16" s="5">
        <f t="shared" si="6"/>
        <v>0.48484848484848486</v>
      </c>
      <c r="F16" s="14">
        <f>HLOOKUP("OptionedTWLY.LiveOptionBooking",Sheet2!$1:$2,2,FALSE)</f>
        <v>0</v>
      </c>
      <c r="G16" s="5">
        <f t="shared" si="7"/>
        <v>0</v>
      </c>
      <c r="H16" s="14">
        <f>HLOOKUP("OptionedTM.LiveOptionBooking",Sheet2!$1:$2,2,FALSE)</f>
        <v>115</v>
      </c>
      <c r="I16" s="14">
        <f>HLOOKUP("OptionedTMLY.LiveOptionBooking",Sheet2!$1:$2,2,FALSE)</f>
        <v>0</v>
      </c>
      <c r="J16" s="5">
        <f t="shared" si="8"/>
        <v>0</v>
      </c>
      <c r="K16" s="14">
        <f>HLOOKUP("OptionedTY.LiveOptionBooking",Sheet2!$1:$2,2,FALSE)</f>
        <v>511</v>
      </c>
      <c r="L16" s="14">
        <f>HLOOKUP("OptionedLY.LiveOptionBooking",Sheet2!$1:$2,2,FALSE)</f>
        <v>1</v>
      </c>
      <c r="M16" s="5">
        <f t="shared" si="9"/>
        <v>510</v>
      </c>
      <c r="N16" s="14">
        <f>HLOOKUP("DepartureYearTY.LiveOptionBooking",Sheet2!$1:$2,2,FALSE)</f>
        <v>27</v>
      </c>
      <c r="O16" s="14">
        <f>HLOOKUP("DepartureYearLY.LiveOptionBooking",Sheet2!$1:$2,2,FALSE)</f>
        <v>1</v>
      </c>
      <c r="P16" s="5">
        <f t="shared" si="10"/>
        <v>26</v>
      </c>
    </row>
    <row r="17" spans="1:16">
      <c r="A17" s="1" t="s">
        <v>26</v>
      </c>
      <c r="C17" s="15">
        <f>HLOOKUP("OptionedTW.LiveOptionRevenue",Sheet2!$1:$2,2,FALSE)</f>
        <v>208251</v>
      </c>
      <c r="D17" s="15">
        <f>HLOOKUP("OptionedLW.LiveOptionRevenue",Sheet2!$1:$2,2,FALSE)</f>
        <v>161430</v>
      </c>
      <c r="E17" s="5">
        <f t="shared" si="6"/>
        <v>0.29003902620330796</v>
      </c>
      <c r="F17" s="15">
        <f>HLOOKUP("OptionedTWLY.LiveOptionRevenue",Sheet2!$1:$2,2,FALSE)</f>
        <v>0</v>
      </c>
      <c r="G17" s="5">
        <f t="shared" si="7"/>
        <v>0</v>
      </c>
      <c r="H17" s="15">
        <f>HLOOKUP("OptionedTM.LiveOptionRevenue",Sheet2!$1:$2,2,FALSE)</f>
        <v>518767</v>
      </c>
      <c r="I17" s="15">
        <f>HLOOKUP("OptionedTMLY.LiveOptionRevenue",Sheet2!$1:$2,2,FALSE)</f>
        <v>0</v>
      </c>
      <c r="J17" s="5">
        <f t="shared" si="8"/>
        <v>0</v>
      </c>
      <c r="K17" s="15">
        <f>HLOOKUP("OptionedTY.LiveOptionRevenue",Sheet2!$1:$2,2,FALSE)</f>
        <v>2556863</v>
      </c>
      <c r="L17" s="15">
        <f>HLOOKUP("OptionedLY.LiveOptionRevenue",Sheet2!$1:$2,2,FALSE)</f>
        <v>0</v>
      </c>
      <c r="M17" s="5">
        <f t="shared" si="9"/>
        <v>0</v>
      </c>
      <c r="N17" s="15">
        <f>HLOOKUP("DepartureYearTY.LiveOptionRevenue",Sheet2!$1:$2,2,FALSE)</f>
        <v>41651</v>
      </c>
      <c r="O17" s="15">
        <f>HLOOKUP("DepartureYearLY.LiveOptionRevenue",Sheet2!$1:$2,2,FALSE)</f>
        <v>0</v>
      </c>
      <c r="P17" s="5">
        <f t="shared" si="10"/>
        <v>0</v>
      </c>
    </row>
    <row r="18" spans="1:16">
      <c r="A18" s="9" t="s">
        <v>27</v>
      </c>
      <c r="C18" s="8">
        <f>HLOOKUP("ConfirmedTW.ConfirmedBookingTotal",Sheet2!$1:$2,2,FALSE)</f>
        <v>151</v>
      </c>
      <c r="D18" s="8">
        <f>HLOOKUP("ConfirmedLW.ConfirmedBookingTotal",Sheet2!$1:$2,2,FALSE)</f>
        <v>191</v>
      </c>
      <c r="E18" s="5">
        <f t="shared" si="6"/>
        <v>-0.20942408376963351</v>
      </c>
      <c r="F18" s="8">
        <f>HLOOKUP("ConfirmedTWLY.ConfirmedBookingTotal",Sheet2!$1:$2,2,FALSE)</f>
        <v>98</v>
      </c>
      <c r="G18" s="5">
        <f t="shared" si="7"/>
        <v>0.54081632653061229</v>
      </c>
      <c r="H18" s="8">
        <f>HLOOKUP("ConfirmedTM.ConfirmedBookingTotal",Sheet2!$1:$2,2,FALSE)</f>
        <v>429</v>
      </c>
      <c r="I18" s="8">
        <f>HLOOKUP("ConfirmedTMLY.ConfirmedBookingTotal",Sheet2!$1:$2,2,FALSE)</f>
        <v>314</v>
      </c>
      <c r="J18" s="5">
        <f t="shared" si="8"/>
        <v>0.36624203821656048</v>
      </c>
      <c r="K18" s="8">
        <f>HLOOKUP("ConfirmedTY.ConfirmedBookingTotal",Sheet2!$1:$2,2,FALSE)</f>
        <v>6059</v>
      </c>
      <c r="L18" s="8">
        <f>HLOOKUP("ConfirmedLY.ConfirmedBookingTotal",Sheet2!$1:$2,2,FALSE)</f>
        <v>5726</v>
      </c>
      <c r="M18" s="5">
        <f t="shared" si="9"/>
        <v>5.8155780649668178E-2</v>
      </c>
      <c r="N18" s="8">
        <f>HLOOKUP("DepartureYearTY.ConfirmedBookingTotal",Sheet2!$1:$2,2,FALSE)</f>
        <v>7192</v>
      </c>
      <c r="O18" s="8">
        <f>HLOOKUP("DepartureYearLY.ConfirmedBookingTotal",Sheet2!$1:$2,2,FALSE)</f>
        <v>6491</v>
      </c>
      <c r="P18" s="5">
        <f t="shared" si="10"/>
        <v>0.10799568633492528</v>
      </c>
    </row>
    <row r="19" spans="1:16">
      <c r="A19" s="9" t="s">
        <v>28</v>
      </c>
      <c r="C19" s="8">
        <f>HLOOKUP("ConfirmedTW.ConfirmedBookingTotalExcludingFO",Sheet2!$1:$2,2,FALSE)</f>
        <v>137</v>
      </c>
      <c r="D19" s="8">
        <f>HLOOKUP("ConfirmedLW.ConfirmedBookingTotalExcludingFO",Sheet2!$1:$2,2,FALSE)</f>
        <v>158</v>
      </c>
      <c r="E19" s="5">
        <f t="shared" si="6"/>
        <v>-0.13291139240506328</v>
      </c>
      <c r="F19" s="8">
        <f>HLOOKUP("ConfirmedTWLY.ConfirmedBookingTotalExcludingFO",Sheet2!$1:$2,2,FALSE)</f>
        <v>95</v>
      </c>
      <c r="G19" s="5">
        <f t="shared" si="7"/>
        <v>0.44210526315789472</v>
      </c>
      <c r="H19" s="8">
        <f>HLOOKUP("ConfirmedTM.ConfirmedBookingTotalExcludingFO",Sheet2!$1:$2,2,FALSE)</f>
        <v>377</v>
      </c>
      <c r="I19" s="8">
        <f>HLOOKUP("ConfirmedTMLY.ConfirmedBookingTotalExcludingFO",Sheet2!$1:$2,2,FALSE)</f>
        <v>305</v>
      </c>
      <c r="J19" s="5">
        <f t="shared" si="8"/>
        <v>0.23606557377049181</v>
      </c>
      <c r="K19" s="8">
        <f>HLOOKUP("ConfirmedTY.ConfirmedBookingTotalExcludingFO",Sheet2!$1:$2,2,FALSE)</f>
        <v>5653</v>
      </c>
      <c r="L19" s="8">
        <f>HLOOKUP("ConfirmedLY.ConfirmedBookingTotalExcludingFO",Sheet2!$1:$2,2,FALSE)</f>
        <v>5672</v>
      </c>
      <c r="M19" s="5">
        <f t="shared" si="9"/>
        <v>-3.3497884344146685E-3</v>
      </c>
      <c r="N19" s="8">
        <f>HLOOKUP("DepartureYearTY.ConfirmedBookingTotalExcludingFO",Sheet2!$1:$2,2,FALSE)</f>
        <v>6787</v>
      </c>
      <c r="O19" s="8">
        <f>HLOOKUP("DepartureYearLY.ConfirmedBookingTotalExcludingFO",Sheet2!$1:$2,2,FALSE)</f>
        <v>6437</v>
      </c>
      <c r="P19" s="5">
        <f t="shared" si="10"/>
        <v>5.4373155196520119E-2</v>
      </c>
    </row>
    <row r="20" spans="1:16">
      <c r="A20" s="1" t="s">
        <v>29</v>
      </c>
      <c r="C20" s="8">
        <f>HLOOKUP("ConfirmedTW.ConfirmedBookingTotalExcludingFODepartureYear",Sheet2!$1:$2,2,FALSE)</f>
        <v>133</v>
      </c>
      <c r="D20" s="8">
        <f>HLOOKUP("ConfirmedLW.ConfirmedBookingTotalExcludingFODepartureYear",Sheet2!$1:$2,2,FALSE)</f>
        <v>149</v>
      </c>
      <c r="E20" s="5">
        <f t="shared" si="6"/>
        <v>-0.10738255033557047</v>
      </c>
      <c r="F20" s="8">
        <f>HLOOKUP("ConfirmedTWLY.ConfirmedBookingTotalExcludingFODepartureYear",Sheet2!$1:$2,2,FALSE)</f>
        <v>76</v>
      </c>
      <c r="G20" s="5">
        <f t="shared" si="7"/>
        <v>0.75</v>
      </c>
      <c r="H20" s="8">
        <f>HLOOKUP("ConfirmedTM.ConfirmedBookingTotalExcludingFODepartureYear",Sheet2!$1:$2,2,FALSE)</f>
        <v>364</v>
      </c>
      <c r="I20" s="8">
        <f>HLOOKUP("ConfirmedTMLY.ConfirmedBookingTotalExcludingFODepartureYear",Sheet2!$1:$2,2,FALSE)</f>
        <v>221</v>
      </c>
      <c r="J20" s="5">
        <f t="shared" si="8"/>
        <v>0.6470588235294118</v>
      </c>
      <c r="K20" s="8">
        <f>HLOOKUP("ConfirmedTY.ConfirmedBookingTotalExcludingFODepartureYear",Sheet2!$1:$2,2,FALSE)</f>
        <v>5633</v>
      </c>
      <c r="L20" s="8">
        <f>HLOOKUP("ConfirmedLY.ConfirmedBookingTotalExcludingFODepartureYear",Sheet2!$1:$2,2,FALSE)</f>
        <v>5480</v>
      </c>
      <c r="M20" s="5">
        <f t="shared" si="9"/>
        <v>2.791970802919708E-2</v>
      </c>
      <c r="N20" s="8">
        <f>HLOOKUP("DepartureYearTY.ConfirmedBookingTotalExcludingFO",Sheet2!$1:$2,2,FALSE)</f>
        <v>6787</v>
      </c>
      <c r="O20" s="8">
        <f>HLOOKUP("DepartureYearLY.ConfirmedBookingTotalExcludingFO",Sheet2!$1:$2,2,FALSE)</f>
        <v>6437</v>
      </c>
      <c r="P20" s="5">
        <f t="shared" si="10"/>
        <v>5.4373155196520119E-2</v>
      </c>
    </row>
    <row r="21" spans="1:16">
      <c r="A21" s="1" t="s">
        <v>30</v>
      </c>
      <c r="C21" s="8">
        <f>HLOOKUP("ConfirmedTW.ConfirmedBookingSalesCentreExcludingFO",Sheet2!$1:$2,2,FALSE)</f>
        <v>128</v>
      </c>
      <c r="D21" s="8">
        <f>HLOOKUP("ConfirmedLW.ConfirmedBookingSalesCentreExcludingFO",Sheet2!$1:$2,2,FALSE)</f>
        <v>141</v>
      </c>
      <c r="E21" s="5">
        <f t="shared" si="6"/>
        <v>-9.2198581560283682E-2</v>
      </c>
      <c r="F21" s="8">
        <f>HLOOKUP("ConfirmedTWLY.ConfirmedBookingSalesCentreExcludingFO",Sheet2!$1:$2,2,FALSE)</f>
        <v>81</v>
      </c>
      <c r="G21" s="5">
        <f t="shared" si="7"/>
        <v>0.58024691358024694</v>
      </c>
      <c r="H21" s="8">
        <f>HLOOKUP("ConfirmedTM.ConfirmedBookingSalesCentreExcludingFO",Sheet2!$1:$2,2,FALSE)</f>
        <v>342</v>
      </c>
      <c r="I21" s="8">
        <f>HLOOKUP("ConfirmedTMLY.ConfirmedBookingSalesCentreExcludingFO",Sheet2!$1:$2,2,FALSE)</f>
        <v>272</v>
      </c>
      <c r="J21" s="5">
        <f t="shared" si="8"/>
        <v>0.25735294117647056</v>
      </c>
      <c r="K21" s="8">
        <f>HLOOKUP("ConfirmedTY.ConfirmedBookingSalesCentreExcludingFO",Sheet2!$1:$2,2,FALSE)</f>
        <v>4776</v>
      </c>
      <c r="L21" s="8">
        <f>HLOOKUP("ConfirmedLY.ConfirmedBookingSalesCentreExcludingFO",Sheet2!$1:$2,2,FALSE)</f>
        <v>4728</v>
      </c>
      <c r="M21" s="5">
        <f t="shared" si="9"/>
        <v>1.015228426395939E-2</v>
      </c>
      <c r="N21" s="8">
        <f>HLOOKUP("DepartureYearTY.ConfirmedBookingSalesCentreExcludingFO",Sheet2!$1:$2,2,FALSE)</f>
        <v>5802</v>
      </c>
      <c r="O21" s="8">
        <f>HLOOKUP("DepartureYearLY.ConfirmedBookingSalesCentreExcludingFO",Sheet2!$1:$2,2,FALSE)</f>
        <v>5402</v>
      </c>
      <c r="P21" s="5">
        <f t="shared" si="10"/>
        <v>7.4046649389115149E-2</v>
      </c>
    </row>
    <row r="22" spans="1:16">
      <c r="A22" s="1" t="s">
        <v>31</v>
      </c>
      <c r="C22" s="8">
        <f>HLOOKUP("ConfirmedTW.ConfirmedBookingWebsiteExcludingFO",Sheet2!$1:$2,2,FALSE)</f>
        <v>9</v>
      </c>
      <c r="D22" s="8">
        <f>HLOOKUP("ConfirmedLW.ConfirmedBookingWebsiteExcludingFO",Sheet2!$1:$2,2,FALSE)</f>
        <v>17</v>
      </c>
      <c r="E22" s="5">
        <f t="shared" si="6"/>
        <v>-0.47058823529411764</v>
      </c>
      <c r="F22" s="8">
        <f>HLOOKUP("ConfirmedTWLY.ConfirmedBookingWebsiteExcludingFO",Sheet2!$1:$2,2,FALSE)</f>
        <v>14</v>
      </c>
      <c r="G22" s="5">
        <f t="shared" si="7"/>
        <v>-0.35714285714285715</v>
      </c>
      <c r="H22" s="8">
        <f>HLOOKUP("ConfirmedTM.ConfirmedBookingWebsiteExcludingFO",Sheet2!$1:$2,2,FALSE)</f>
        <v>35</v>
      </c>
      <c r="I22" s="8">
        <f>HLOOKUP("ConfirmedTMLY.ConfirmedBookingWebsiteExcludingFO",Sheet2!$1:$2,2,FALSE)</f>
        <v>33</v>
      </c>
      <c r="J22" s="5">
        <f t="shared" si="8"/>
        <v>6.0606060606060608E-2</v>
      </c>
      <c r="K22" s="8">
        <f>HLOOKUP("ConfirmedTY.ConfirmedBookingWebsiteExcludingFO",Sheet2!$1:$2,2,FALSE)</f>
        <v>877</v>
      </c>
      <c r="L22" s="8">
        <f>HLOOKUP("ConfirmedLY.ConfirmedBookingWebsiteExcludingFO",Sheet2!$1:$2,2,FALSE)</f>
        <v>944</v>
      </c>
      <c r="M22" s="5">
        <f t="shared" si="9"/>
        <v>-7.0974576271186446E-2</v>
      </c>
      <c r="N22" s="8">
        <f>HLOOKUP("DepartureYearTY.ConfirmedBookingWebsiteExcludingFO",Sheet2!$1:$2,2,FALSE)</f>
        <v>985</v>
      </c>
      <c r="O22" s="8">
        <f>HLOOKUP("DepartureYearLY.ConfirmedBookingWebsiteExcludingFO",Sheet2!$1:$2,2,FALSE)</f>
        <v>1035</v>
      </c>
      <c r="P22" s="5">
        <f t="shared" si="10"/>
        <v>-4.8309178743961352E-2</v>
      </c>
    </row>
    <row r="23" spans="1:16">
      <c r="A23" s="1" t="s">
        <v>32</v>
      </c>
      <c r="C23" s="5">
        <f>IFERROR(C22/C19,0)</f>
        <v>6.569343065693431E-2</v>
      </c>
      <c r="D23" s="5">
        <f>IFERROR(D22/D19,0)</f>
        <v>0.10759493670886076</v>
      </c>
      <c r="E23" s="5">
        <f t="shared" si="6"/>
        <v>-0.38943752683555172</v>
      </c>
      <c r="F23" s="5">
        <f>IFERROR(F22/F19,0)</f>
        <v>0.14736842105263157</v>
      </c>
      <c r="G23" s="5">
        <f t="shared" si="7"/>
        <v>-0.55422314911366</v>
      </c>
      <c r="H23" s="5">
        <f>IFERROR(H22/H19,0)</f>
        <v>9.2838196286472149E-2</v>
      </c>
      <c r="I23" s="5">
        <f>IFERROR(I22/I19,0)</f>
        <v>0.10819672131147541</v>
      </c>
      <c r="J23" s="5">
        <f t="shared" si="8"/>
        <v>-0.14195000401896954</v>
      </c>
      <c r="K23" s="5">
        <f>IFERROR(K22/K19,0)</f>
        <v>0.15513886431983018</v>
      </c>
      <c r="L23" s="5">
        <f>IFERROR(L22/L19,0)</f>
        <v>0.16643159379407615</v>
      </c>
      <c r="M23" s="5">
        <f t="shared" si="9"/>
        <v>-6.7852077942715236E-2</v>
      </c>
      <c r="N23" s="5">
        <f>IFERROR(N22/N19,0)</f>
        <v>0.14513039634595551</v>
      </c>
      <c r="O23" s="5">
        <f>IFERROR(O22/O19,0)</f>
        <v>0.1607891875097095</v>
      </c>
      <c r="P23" s="5">
        <f t="shared" si="10"/>
        <v>-9.7387090551772387E-2</v>
      </c>
    </row>
    <row r="24" spans="1:16">
      <c r="A24" s="9" t="s">
        <v>33</v>
      </c>
      <c r="C24" s="8">
        <f>HLOOKUP("ConfirmedTW.ConfirmedPAXCountDepartureYear",Sheet2!$1:$2,2,FALSE)</f>
        <v>413</v>
      </c>
      <c r="D24" s="8">
        <f>HLOOKUP("ConfirmedLW.ConfirmedPAXCountDepartureYear",Sheet2!$1:$2,2,FALSE)</f>
        <v>496</v>
      </c>
      <c r="E24" s="5">
        <f t="shared" si="6"/>
        <v>-0.16733870967741934</v>
      </c>
      <c r="F24" s="8">
        <f>HLOOKUP("ConfirmedTWLY.ConfirmedPAXCountDepartureYear",Sheet2!$1:$2,2,FALSE)</f>
        <v>231</v>
      </c>
      <c r="G24" s="5">
        <f t="shared" si="7"/>
        <v>0.78787878787878785</v>
      </c>
      <c r="H24" s="8">
        <f>HLOOKUP("ConfirmedTM.ConfirmedPAXCountDepartureYear",Sheet2!$1:$2,2,FALSE)</f>
        <v>1141</v>
      </c>
      <c r="I24" s="8">
        <f>HLOOKUP("ConfirmedTMLY.ConfirmedPAXCountDepartureYear",Sheet2!$1:$2,2,FALSE)</f>
        <v>641</v>
      </c>
      <c r="J24" s="5">
        <f t="shared" si="8"/>
        <v>0.78003120124804992</v>
      </c>
      <c r="K24" s="8">
        <f>HLOOKUP("ConfirmedTY.ConfirmedPAXCountDepartureYear",Sheet2!$1:$2,2,FALSE)</f>
        <v>20143</v>
      </c>
      <c r="L24" s="8">
        <f>HLOOKUP("ConfirmedLY.ConfirmedPAXCountDepartureYear",Sheet2!$1:$2,2,FALSE)</f>
        <v>18307</v>
      </c>
      <c r="M24" s="5">
        <f t="shared" si="9"/>
        <v>0.10028950674605343</v>
      </c>
      <c r="N24" s="8">
        <f>HLOOKUP("DepartureYearTY.ConfirmedPAXCount",Sheet2!$1:$2,2,FALSE)</f>
        <v>23976</v>
      </c>
      <c r="O24" s="8">
        <f>HLOOKUP("DepartureYearLY.ConfirmedPAXCount",Sheet2!$1:$2,2,FALSE)</f>
        <v>21617</v>
      </c>
      <c r="P24" s="5">
        <f t="shared" si="10"/>
        <v>0.10912707591247629</v>
      </c>
    </row>
    <row r="25" spans="1:16">
      <c r="A25" s="9" t="s">
        <v>34</v>
      </c>
      <c r="C25" s="7">
        <f>HLOOKUP("ConfirmedTW.ConfirmedRevenueTotal",Sheet2!$1:$2,2,FALSE)</f>
        <v>439929.4</v>
      </c>
      <c r="D25" s="7">
        <f>HLOOKUP("ConfirmedLW.ConfirmedRevenueTotal",Sheet2!$1:$2,2,FALSE)</f>
        <v>579411.85</v>
      </c>
      <c r="E25" s="5">
        <f t="shared" si="6"/>
        <v>-0.24073109654212277</v>
      </c>
      <c r="F25" s="7">
        <f>HLOOKUP("ConfirmedTWLY.ConfirmedRevenueTotal",Sheet2!$1:$2,2,FALSE)</f>
        <v>339545.21</v>
      </c>
      <c r="G25" s="5">
        <f t="shared" si="7"/>
        <v>0.29564307504146503</v>
      </c>
      <c r="H25" s="7">
        <f>HLOOKUP("ConfirmedTM.ConfirmedRevenueTotal",Sheet2!$1:$2,2,FALSE)</f>
        <v>1274092.83</v>
      </c>
      <c r="I25" s="7">
        <f>HLOOKUP("ConfirmedTMLY.ConfirmedRevenueTotal",Sheet2!$1:$2,2,FALSE)</f>
        <v>1181956.93</v>
      </c>
      <c r="J25" s="5">
        <f t="shared" si="8"/>
        <v>7.7951994409813347E-2</v>
      </c>
      <c r="K25" s="7">
        <f>HLOOKUP("ConfirmedTY.ConfirmedRevenueTotal",Sheet2!$1:$2,2,FALSE)</f>
        <v>24866780.25</v>
      </c>
      <c r="L25" s="7">
        <f>HLOOKUP("ConfirmedLY.ConfirmedRevenueTotal",Sheet2!$1:$2,2,FALSE)</f>
        <v>24030293.440000001</v>
      </c>
      <c r="M25" s="5">
        <f t="shared" si="9"/>
        <v>3.4809679377764545E-2</v>
      </c>
      <c r="N25" s="7">
        <f>HLOOKUP("DepartureYearTY.ConfirmedRevenueTotal",Sheet2!$1:$2,2,FALSE)</f>
        <v>30443766.100000098</v>
      </c>
      <c r="O25" s="7">
        <f>HLOOKUP("DepartureYearLY.ConfirmedRevenueTotal",Sheet2!$1:$2,2,FALSE)</f>
        <v>27966191.109999999</v>
      </c>
      <c r="P25" s="5">
        <f t="shared" si="10"/>
        <v>8.8591792148419557E-2</v>
      </c>
    </row>
    <row r="26" spans="1:16">
      <c r="A26" s="1" t="s">
        <v>35</v>
      </c>
      <c r="C26" s="7">
        <f>HLOOKUP("ConfirmedTW.ConfirmedRevenueTotalExcludingFO",Sheet2!$1:$2,2,FALSE)</f>
        <v>435093.33</v>
      </c>
      <c r="D26" s="7">
        <f>HLOOKUP("ConfirmedLW.ConfirmedRevenueTotalExcludingFO",Sheet2!$1:$2,2,FALSE)</f>
        <v>571022.51</v>
      </c>
      <c r="E26" s="5">
        <f t="shared" si="6"/>
        <v>-0.23804522171989331</v>
      </c>
      <c r="F26" s="7">
        <f>HLOOKUP("ConfirmedTWLY.ConfirmedRevenueTotalExcludingFO",Sheet2!$1:$2,2,FALSE)</f>
        <v>339147.21</v>
      </c>
      <c r="G26" s="5">
        <f t="shared" si="7"/>
        <v>0.28290405219609499</v>
      </c>
      <c r="H26" s="7">
        <f>HLOOKUP("ConfirmedTM.ConfirmedRevenueTotalExcludingFO",Sheet2!$1:$2,2,FALSE)</f>
        <v>1259884.6000000001</v>
      </c>
      <c r="I26" s="7">
        <f>HLOOKUP("ConfirmedTMLY.ConfirmedRevenueTotalExcludingFO",Sheet2!$1:$2,2,FALSE)</f>
        <v>1179629.93</v>
      </c>
      <c r="J26" s="5">
        <f t="shared" si="8"/>
        <v>6.8033768861731209E-2</v>
      </c>
      <c r="K26" s="7">
        <f>HLOOKUP("ConfirmedTY.ConfirmedRevenueTotalExcludingFO",Sheet2!$1:$2,2,FALSE)</f>
        <v>24733871.780000001</v>
      </c>
      <c r="L26" s="7">
        <f>HLOOKUP("ConfirmedLY.ConfirmedRevenueTotalExcludingFO",Sheet2!$1:$2,2,FALSE)</f>
        <v>24022932.440000001</v>
      </c>
      <c r="M26" s="5">
        <f t="shared" si="9"/>
        <v>2.9594194704399703E-2</v>
      </c>
      <c r="N26" s="7">
        <f>HLOOKUP("DepartureYearTY.ConfirmedRevenueTotalExcludingFO",Sheet2!$1:$2,2,FALSE)</f>
        <v>30310857.6300001</v>
      </c>
      <c r="O26" s="7">
        <f>HLOOKUP("DepartureYearLY.ConfirmedRevenueTotalExcludingFO",Sheet2!$1:$2,2,FALSE)</f>
        <v>27958830.109999999</v>
      </c>
      <c r="P26" s="5">
        <f t="shared" si="10"/>
        <v>8.4124675844675395E-2</v>
      </c>
    </row>
    <row r="27" spans="1:16">
      <c r="A27" s="1" t="s">
        <v>36</v>
      </c>
      <c r="C27" s="7">
        <f>HLOOKUP("ConfirmedTW.ConfirmedRevenueTotalExcludingFODepartureYear",Sheet2!$1:$2,2,FALSE)</f>
        <v>403013.33</v>
      </c>
      <c r="D27" s="7">
        <f>HLOOKUP("ConfirmedLW.ConfirmedRevenueTotalExcludingFODepartureYear",Sheet2!$1:$2,2,FALSE)</f>
        <v>493567.51</v>
      </c>
      <c r="E27" s="5">
        <f t="shared" si="6"/>
        <v>-0.18346868091054047</v>
      </c>
      <c r="F27" s="7">
        <f>HLOOKUP("ConfirmedTWLY.ConfirmedRevenueTotalExcludingFODepartureYear",Sheet2!$1:$2,2,FALSE)</f>
        <v>236978.29</v>
      </c>
      <c r="G27" s="5">
        <f t="shared" si="7"/>
        <v>0.7006339694661482</v>
      </c>
      <c r="H27" s="7">
        <f>HLOOKUP("ConfirmedTM.ConfirmedRevenueTotalExcludingFODepartureYear",Sheet2!$1:$2,2,FALSE)</f>
        <v>1150349.6000000001</v>
      </c>
      <c r="I27" s="7">
        <f>HLOOKUP("ConfirmedTMLY.ConfirmedRevenueTotalExcludingFODepartureYear",Sheet2!$1:$2,2,FALSE)</f>
        <v>696850.29</v>
      </c>
      <c r="J27" s="5">
        <f t="shared" si="8"/>
        <v>0.65078441741051729</v>
      </c>
      <c r="K27" s="7">
        <f>HLOOKUP("ConfirmedTY.ConfirmedRevenueTotalExcludingFODepartureYear",Sheet2!$1:$2,2,FALSE)</f>
        <v>24585096.780000001</v>
      </c>
      <c r="L27" s="7">
        <f>HLOOKUP("ConfirmedLY.ConfirmedRevenueTotalExcludingFODepartureYear",Sheet2!$1:$2,2,FALSE)</f>
        <v>22988279.68</v>
      </c>
      <c r="M27" s="5">
        <f t="shared" si="9"/>
        <v>6.9462226935982779E-2</v>
      </c>
      <c r="N27" s="7">
        <f>HLOOKUP("DepartureYearTY.ConfirmedRevenueTotalExcludingFO",Sheet2!$1:$2,2,FALSE)</f>
        <v>30310857.6300001</v>
      </c>
      <c r="O27" s="7">
        <f>HLOOKUP("DepartureYearLY.ConfirmedRevenueTotalExcludingFO",Sheet2!$1:$2,2,FALSE)</f>
        <v>27958830.109999999</v>
      </c>
      <c r="P27" s="5">
        <f t="shared" si="10"/>
        <v>8.4124675844675395E-2</v>
      </c>
    </row>
    <row r="28" spans="1:16">
      <c r="A28" s="9" t="s">
        <v>37</v>
      </c>
      <c r="C28" s="7">
        <f>C27/C20</f>
        <v>3030.1754135338347</v>
      </c>
      <c r="D28" s="7">
        <f>D27/D20</f>
        <v>3312.5336241610739</v>
      </c>
      <c r="E28" s="5">
        <f t="shared" si="6"/>
        <v>-8.5239349290755884E-2</v>
      </c>
      <c r="F28" s="7">
        <f>F27/F20</f>
        <v>3118.135394736842</v>
      </c>
      <c r="G28" s="5">
        <f t="shared" si="7"/>
        <v>-2.8209160305058156E-2</v>
      </c>
      <c r="H28" s="7">
        <f>H27/H20</f>
        <v>3160.3010989010991</v>
      </c>
      <c r="I28" s="7">
        <f>I27/I20</f>
        <v>3153.1687330316745</v>
      </c>
      <c r="J28" s="5">
        <f t="shared" si="8"/>
        <v>2.2619677135282974E-3</v>
      </c>
      <c r="K28" s="7">
        <f>K27/K20</f>
        <v>4364.4766163678323</v>
      </c>
      <c r="L28" s="7">
        <f>L27/L20</f>
        <v>4194.9415474452553</v>
      </c>
      <c r="M28" s="5">
        <f t="shared" si="9"/>
        <v>4.041416715945062E-2</v>
      </c>
      <c r="N28" s="7">
        <f>N27/N20</f>
        <v>4466.0170369824809</v>
      </c>
      <c r="O28" s="7">
        <f>O27/O20</f>
        <v>4343.4565962404849</v>
      </c>
      <c r="P28" s="5">
        <f t="shared" si="10"/>
        <v>2.821725923267639E-2</v>
      </c>
    </row>
    <row r="29" spans="1:16">
      <c r="C29" s="8"/>
      <c r="D29" s="8"/>
      <c r="E29" s="5"/>
      <c r="F29" s="8"/>
      <c r="G29" s="5"/>
      <c r="H29" s="8"/>
      <c r="I29" s="8"/>
      <c r="J29" s="5"/>
      <c r="K29" s="8"/>
      <c r="L29" s="8"/>
      <c r="M29" s="5"/>
      <c r="N29" s="8"/>
      <c r="O29" s="8"/>
      <c r="P29" s="5"/>
    </row>
    <row r="30" spans="1:16">
      <c r="A30" s="10" t="s">
        <v>38</v>
      </c>
      <c r="C30" s="8"/>
      <c r="D30" s="8"/>
      <c r="E30" s="5"/>
      <c r="F30" s="8"/>
      <c r="G30" s="5"/>
      <c r="H30" s="8"/>
      <c r="I30" s="8"/>
      <c r="J30" s="5"/>
      <c r="K30" s="8"/>
      <c r="L30" s="8"/>
      <c r="M30" s="5"/>
      <c r="N30" s="8"/>
      <c r="O30" s="8"/>
      <c r="P30" s="5"/>
    </row>
    <row r="31" spans="1:16">
      <c r="A31" s="9" t="s">
        <v>39</v>
      </c>
      <c r="C31" s="8">
        <f>HLOOKUP("ConfirmedTW.ConfirmedCommittedFlightSeatsCountDepartureYear",Sheet2!$1:$2,2,FALSE)</f>
        <v>177</v>
      </c>
      <c r="D31" s="8">
        <f>HLOOKUP("ConfirmedLW.ConfirmedCommittedFlightSeatsCountDepartureYear",Sheet2!$1:$2,2,FALSE)</f>
        <v>203</v>
      </c>
      <c r="E31" s="5">
        <f>IFERROR((C31-D31)/D31,0)</f>
        <v>-0.12807881773399016</v>
      </c>
      <c r="F31" s="8">
        <f>HLOOKUP("ConfirmedTWLY.ConfirmedCommittedFlightSeatsCountDepartureYear",Sheet2!$1:$2,2,FALSE)</f>
        <v>52</v>
      </c>
      <c r="G31" s="5">
        <f>IFERROR((C31-F31)/F31,0)</f>
        <v>2.4038461538461537</v>
      </c>
      <c r="H31" s="8">
        <f>HLOOKUP("ConfirmedTM.ConfirmedCommittedFlightSeatsCountDepartureYear",Sheet2!$1:$2,2,FALSE)</f>
        <v>462</v>
      </c>
      <c r="I31" s="8">
        <f>HLOOKUP("ConfirmedTMLY.ConfirmedCommittedFlightSeatsCountDepartureYear",Sheet2!$1:$2,2,FALSE)</f>
        <v>157</v>
      </c>
      <c r="J31" s="5">
        <f>IFERROR((H31-I31)/I31,0)</f>
        <v>1.9426751592356688</v>
      </c>
      <c r="K31" s="8">
        <f>HLOOKUP("ConfirmedTY.ConfirmedCommittedFlightSeatsCountDepartureYear",Sheet2!$1:$2,2,FALSE)</f>
        <v>8733</v>
      </c>
      <c r="L31" s="8">
        <f>HLOOKUP("ConfirmedLY.ConfirmedCommittedFlightSeatsCountDepartureYear",Sheet2!$1:$2,2,FALSE)</f>
        <v>6694</v>
      </c>
      <c r="M31" s="5">
        <f>IFERROR((K31-L31)/L31,0)</f>
        <v>0.30460113534508515</v>
      </c>
      <c r="N31" s="8">
        <f>HLOOKUP("DepartureYearTY.ConfirmedCommittedFlightSeatsCount",Sheet2!$1:$2,2,FALSE)</f>
        <v>10496</v>
      </c>
      <c r="O31" s="8">
        <f>HLOOKUP("DepartureYearLY.ConfirmedCommittedFlightSeatsCount",Sheet2!$1:$2,2,FALSE)</f>
        <v>8242</v>
      </c>
      <c r="P31" s="5">
        <f>IFERROR((N31-O31)/O31,0)</f>
        <v>0.27347731133220093</v>
      </c>
    </row>
    <row r="32" spans="1:16">
      <c r="A32" s="9" t="s">
        <v>40</v>
      </c>
      <c r="C32" s="8">
        <f>HLOOKUP("ConfirmedTW.ConfirmedAdHocFlightSeatsCountDepartureYear",Sheet2!$1:$2,2,FALSE)</f>
        <v>130</v>
      </c>
      <c r="D32" s="8">
        <f>HLOOKUP("ConfirmedLW.ConfirmedAdHocFlightSeatsCountDepartureYear",Sheet2!$1:$2,2,FALSE)</f>
        <v>163</v>
      </c>
      <c r="E32" s="5">
        <f>IFERROR((C32-D32)/D32,0)</f>
        <v>-0.20245398773006135</v>
      </c>
      <c r="F32" s="8">
        <f>HLOOKUP("ConfirmedTWLY.ConfirmedAdHocFlightSeatsCountDepartureYear",Sheet2!$1:$2,2,FALSE)</f>
        <v>129</v>
      </c>
      <c r="G32" s="5">
        <f>IFERROR((C32-F32)/F32,0)</f>
        <v>7.7519379844961239E-3</v>
      </c>
      <c r="H32" s="8">
        <f>HLOOKUP("ConfirmedTM.ConfirmedAdHocFlightSeatsCountDepartureYear",Sheet2!$1:$2,2,FALSE)</f>
        <v>376</v>
      </c>
      <c r="I32" s="8">
        <f>HLOOKUP("ConfirmedTMLY.ConfirmedAdHocFlightSeatsCountDepartureYear",Sheet2!$1:$2,2,FALSE)</f>
        <v>338</v>
      </c>
      <c r="J32" s="5">
        <f>IFERROR((H32-I32)/I32,0)</f>
        <v>0.11242603550295859</v>
      </c>
      <c r="K32" s="8">
        <f>HLOOKUP("ConfirmedTY.ConfirmedAdHocFlightSeatsCountDepartureYear",Sheet2!$1:$2,2,FALSE)</f>
        <v>4731</v>
      </c>
      <c r="L32" s="8">
        <f>HLOOKUP("ConfirmedLY.ConfirmedAdHocFlightSeatsCountDepartureYear",Sheet2!$1:$2,2,FALSE)</f>
        <v>6260</v>
      </c>
      <c r="M32" s="5">
        <f>IFERROR((K32-L32)/L32,0)</f>
        <v>-0.24424920127795527</v>
      </c>
      <c r="N32" s="8">
        <f>HLOOKUP("DepartureYearTY.ConfirmedAdHocFlightSeatsCount",Sheet2!$1:$2,2,FALSE)</f>
        <v>5820</v>
      </c>
      <c r="O32" s="8">
        <f>HLOOKUP("DepartureYearLY.ConfirmedAdHocFlightSeatsCount",Sheet2!$1:$2,2,FALSE)</f>
        <v>7037</v>
      </c>
      <c r="P32" s="5">
        <f>IFERROR((N32-O32)/O32,0)</f>
        <v>-0.17294301548955521</v>
      </c>
    </row>
    <row r="33" spans="1:16">
      <c r="A33" s="9" t="s">
        <v>41</v>
      </c>
      <c r="C33" s="5">
        <f>IFERROR(C31/SUM(C31:C32),0)</f>
        <v>0.57654723127035834</v>
      </c>
      <c r="D33" s="5">
        <f>IFERROR(D31/SUM(D31:D32),0)</f>
        <v>0.55464480874316935</v>
      </c>
      <c r="E33" s="5">
        <f>IFERROR((C33-D33)/D33,0)</f>
        <v>3.9489096773158483E-2</v>
      </c>
      <c r="F33" s="5">
        <f>IFERROR(F31/SUM(F31:F32),0)</f>
        <v>0.287292817679558</v>
      </c>
      <c r="G33" s="5">
        <f>IFERROR((C33-F33)/F33,0)</f>
        <v>1.0068278626910552</v>
      </c>
      <c r="H33" s="5">
        <f>IFERROR(H31/SUM(H31:H32),0)</f>
        <v>0.55131264916467781</v>
      </c>
      <c r="I33" s="5">
        <f>IFERROR(I31/SUM(I31:I32),0)</f>
        <v>0.31717171717171716</v>
      </c>
      <c r="J33" s="5">
        <f>IFERROR((H33-I33)/I33,0)</f>
        <v>0.73821504035997154</v>
      </c>
      <c r="K33" s="5">
        <f>IFERROR(K31/SUM(K31:K32),0)</f>
        <v>0.64861853832442062</v>
      </c>
      <c r="L33" s="5">
        <f>IFERROR(L31/SUM(L31:L32),0)</f>
        <v>0.51675158252277287</v>
      </c>
      <c r="M33" s="5">
        <f>IFERROR((K33-L33)/L33,0)</f>
        <v>0.25518442567292277</v>
      </c>
      <c r="N33" s="5">
        <f>IFERROR(N31/SUM(N31:N32),0)</f>
        <v>0.64329492522677123</v>
      </c>
      <c r="O33" s="5">
        <f>IFERROR(O31/SUM(O31:O32),0)</f>
        <v>0.53943320897964531</v>
      </c>
      <c r="P33" s="5">
        <f>IFERROR((N33-O33)/O33,0)</f>
        <v>0.19253860258915759</v>
      </c>
    </row>
    <row r="34" spans="1:16">
      <c r="C34" s="5"/>
      <c r="D34" s="5"/>
      <c r="E34" s="5"/>
      <c r="F34" s="5"/>
      <c r="G34" s="5"/>
      <c r="H34" s="5"/>
      <c r="I34" s="5"/>
      <c r="J34" s="5"/>
      <c r="K34" s="5"/>
      <c r="L34" s="5"/>
      <c r="M34" s="5"/>
      <c r="N34" s="5"/>
      <c r="O34" s="5"/>
      <c r="P34" s="5"/>
    </row>
    <row r="35" spans="1:16">
      <c r="A35" s="10" t="s">
        <v>42</v>
      </c>
      <c r="C35" s="8"/>
      <c r="D35" s="8"/>
      <c r="E35" s="5"/>
      <c r="F35" s="8"/>
      <c r="G35" s="5"/>
      <c r="H35" s="8"/>
      <c r="I35" s="8"/>
      <c r="J35" s="5"/>
      <c r="K35" s="8"/>
      <c r="L35" s="8"/>
      <c r="M35" s="5"/>
      <c r="N35" s="8"/>
      <c r="O35" s="8"/>
      <c r="P35" s="5"/>
    </row>
    <row r="36" spans="1:16">
      <c r="A36" s="11" t="s">
        <v>43</v>
      </c>
      <c r="C36" s="8"/>
      <c r="D36" s="8"/>
      <c r="E36" s="5"/>
      <c r="F36" s="8"/>
      <c r="G36" s="5"/>
      <c r="H36" s="8"/>
      <c r="I36" s="8"/>
      <c r="J36" s="5"/>
      <c r="K36" s="8"/>
      <c r="L36" s="8"/>
      <c r="M36" s="5"/>
      <c r="N36" s="8"/>
      <c r="O36" s="8"/>
      <c r="P36" s="5"/>
    </row>
    <row r="37" spans="1:16">
      <c r="A37" s="1" t="s">
        <v>44</v>
      </c>
      <c r="C37" s="8">
        <f>HLOOKUP("ConfirmedTW.ConfirmedBookingPastClientExcludingFODepartureYear",Sheet2!$1:$2,2,FALSE)</f>
        <v>46</v>
      </c>
      <c r="D37" s="8">
        <f>HLOOKUP("ConfirmedLW.ConfirmedBookingPastClientExcludingFODepartureYear",Sheet2!$1:$2,2,FALSE)</f>
        <v>59</v>
      </c>
      <c r="E37" s="5">
        <f>IFERROR((C37-D37)/D37,0)</f>
        <v>-0.22033898305084745</v>
      </c>
      <c r="F37" s="8">
        <f>HLOOKUP("ConfirmedTWLY.ConfirmedBookingPastClientExcludingFODepartureYear",Sheet2!$1:$2,2,FALSE)</f>
        <v>28</v>
      </c>
      <c r="G37" s="5">
        <f>IFERROR((C37-F37)/F37,0)</f>
        <v>0.6428571428571429</v>
      </c>
      <c r="H37" s="8">
        <f>HLOOKUP("ConfirmedTM.ConfirmedBookingPastClientExcludingFODepartureYear",Sheet2!$1:$2,2,FALSE)</f>
        <v>136</v>
      </c>
      <c r="I37" s="8">
        <f>HLOOKUP("ConfirmedTMLY.ConfirmedBookingPastClientExcludingFODepartureYear",Sheet2!$1:$2,2,FALSE)</f>
        <v>81</v>
      </c>
      <c r="J37" s="5">
        <f>IFERROR((H37-I37)/I37,0)</f>
        <v>0.67901234567901236</v>
      </c>
      <c r="K37" s="8">
        <f>HLOOKUP("ConfirmedTY.ConfirmedBookingPastClientExcludingFODepartureYear",Sheet2!$1:$2,2,FALSE)</f>
        <v>2453</v>
      </c>
      <c r="L37" s="8">
        <f>HLOOKUP("ConfirmedLY.ConfirmedBookingPastClientExcludingFODepartureYear",Sheet2!$1:$2,2,FALSE)</f>
        <v>2175</v>
      </c>
      <c r="M37" s="5">
        <f>IFERROR((K37-L37)/L37,0)</f>
        <v>0.12781609195402299</v>
      </c>
      <c r="N37" s="8">
        <f>HLOOKUP("DepartureYearTY.ConfirmedBookingPastClientExcludingFO",Sheet2!$1:$2,2,FALSE)</f>
        <v>3226</v>
      </c>
      <c r="O37" s="8">
        <f>HLOOKUP("DepartureYearLY.ConfirmedBookingPastClientExcludingFO",Sheet2!$1:$2,2,FALSE)</f>
        <v>2818</v>
      </c>
      <c r="P37" s="5">
        <f>IFERROR((N37-O37)/O37,0)</f>
        <v>0.1447835344215756</v>
      </c>
    </row>
    <row r="38" spans="1:16">
      <c r="A38" s="1" t="s">
        <v>45</v>
      </c>
      <c r="C38" s="8">
        <f>HLOOKUP("ConfirmedTW.ConfirmedBookingNewClientExcludingFODepartureYear",Sheet2!$1:$2,2,FALSE)</f>
        <v>79</v>
      </c>
      <c r="D38" s="8">
        <f>HLOOKUP("ConfirmedLW.ConfirmedBookingNewClientExcludingFODepartureYear",Sheet2!$1:$2,2,FALSE)</f>
        <v>83</v>
      </c>
      <c r="E38" s="5">
        <f>IFERROR((C38-D38)/D38,0)</f>
        <v>-4.8192771084337352E-2</v>
      </c>
      <c r="F38" s="8">
        <f>HLOOKUP("ConfirmedTWLY.ConfirmedBookingNewClientExcludingFODepartureYear",Sheet2!$1:$2,2,FALSE)</f>
        <v>44</v>
      </c>
      <c r="G38" s="5">
        <f>IFERROR((C38-F38)/F38,0)</f>
        <v>0.79545454545454541</v>
      </c>
      <c r="H38" s="8">
        <f>HLOOKUP("ConfirmedTM.ConfirmedBookingNewClientExcludingFODepartureYear",Sheet2!$1:$2,2,FALSE)</f>
        <v>209</v>
      </c>
      <c r="I38" s="8">
        <f>HLOOKUP("ConfirmedTMLY.ConfirmedBookingNewClientExcludingFODepartureYear",Sheet2!$1:$2,2,FALSE)</f>
        <v>128</v>
      </c>
      <c r="J38" s="5">
        <f>IFERROR((H38-I38)/I38,0)</f>
        <v>0.6328125</v>
      </c>
      <c r="K38" s="8">
        <f>HLOOKUP("ConfirmedTY.ConfirmedBookingNewClientExcludingFODepartureYear",Sheet2!$1:$2,2,FALSE)</f>
        <v>2877</v>
      </c>
      <c r="L38" s="8">
        <f>HLOOKUP("ConfirmedLY.ConfirmedBookingNewClientExcludingFODepartureYear",Sheet2!$1:$2,2,FALSE)</f>
        <v>3067</v>
      </c>
      <c r="M38" s="5">
        <f>IFERROR((K38-L38)/L38,0)</f>
        <v>-6.1949788066514508E-2</v>
      </c>
      <c r="N38" s="8">
        <f>HLOOKUP("DepartureYearTY.ConfirmedBookingNewClientExcludingFO",Sheet2!$1:$2,2,FALSE)</f>
        <v>3224</v>
      </c>
      <c r="O38" s="8">
        <f>HLOOKUP("DepartureYearLY.ConfirmedBookingNewClientExcludingFO",Sheet2!$1:$2,2,FALSE)</f>
        <v>3357</v>
      </c>
      <c r="P38" s="5">
        <f>IFERROR((N38-O38)/O38,0)</f>
        <v>-3.9618707179028892E-2</v>
      </c>
    </row>
    <row r="39" spans="1:16">
      <c r="A39" s="1" t="s">
        <v>46</v>
      </c>
      <c r="C39" s="8">
        <f>HLOOKUP("ConfirmedTW.ConfirmedBookingUKAgentDepartureYear",Sheet2!$1:$2,2,FALSE)</f>
        <v>24</v>
      </c>
      <c r="D39" s="8">
        <f>HLOOKUP("ConfirmedLW.ConfirmedBookingUKAgentDepartureYear",Sheet2!$1:$2,2,FALSE)</f>
        <v>40</v>
      </c>
      <c r="E39" s="5">
        <f>IFERROR((C39-D39)/D39,0)</f>
        <v>-0.4</v>
      </c>
      <c r="F39" s="8">
        <f>HLOOKUP("ConfirmedTWLY.ConfirmedBookingUKAgentDepartureYear",Sheet2!$1:$2,2,FALSE)</f>
        <v>7</v>
      </c>
      <c r="G39" s="5">
        <f>IFERROR((C39-F39)/F39,0)</f>
        <v>2.4285714285714284</v>
      </c>
      <c r="H39" s="8">
        <f>HLOOKUP("ConfirmedTM.ConfirmedBookingUKAgentDepartureYear",Sheet2!$1:$2,2,FALSE)</f>
        <v>73</v>
      </c>
      <c r="I39" s="8">
        <f>HLOOKUP("ConfirmedTMLY.ConfirmedBookingUKAgentDepartureYear",Sheet2!$1:$2,2,FALSE)</f>
        <v>19</v>
      </c>
      <c r="J39" s="5">
        <f>IFERROR((H39-I39)/I39,0)</f>
        <v>2.8421052631578947</v>
      </c>
      <c r="K39" s="8">
        <f>HLOOKUP("ConfirmedTY.ConfirmedBookingUKAgentDepartureYear",Sheet2!$1:$2,2,FALSE)</f>
        <v>671</v>
      </c>
      <c r="L39" s="8">
        <f>HLOOKUP("ConfirmedLY.ConfirmedBookingUKAgentDepartureYear",Sheet2!$1:$2,2,FALSE)</f>
        <v>242</v>
      </c>
      <c r="M39" s="5">
        <f>IFERROR((K39-L39)/L39,0)</f>
        <v>1.7727272727272727</v>
      </c>
      <c r="N39" s="8">
        <f>HLOOKUP("DepartureYearTY.ConfirmedBookingUKAgent",Sheet2!$1:$2,2,FALSE)</f>
        <v>702</v>
      </c>
      <c r="O39" s="8">
        <f>HLOOKUP("DepartureYearLY.ConfirmedBookingUKAgent",Sheet2!$1:$2,2,FALSE)</f>
        <v>268</v>
      </c>
      <c r="P39" s="5">
        <f>IFERROR((N39-O39)/O39,0)</f>
        <v>1.6194029850746268</v>
      </c>
    </row>
    <row r="40" spans="1:16">
      <c r="A40" s="1" t="s">
        <v>47</v>
      </c>
      <c r="C40" s="8">
        <f>HLOOKUP("ConfirmedTW.ConfirmedBookingOverseasAgentDepartureYear",Sheet2!$1:$2,2,FALSE)</f>
        <v>0</v>
      </c>
      <c r="D40" s="8">
        <f>HLOOKUP("ConfirmedLW.ConfirmedBookingOverseasAgentDepartureYear",Sheet2!$1:$2,2,FALSE)</f>
        <v>0</v>
      </c>
      <c r="E40" s="5">
        <f>IFERROR((C40-D40)/D40,0)</f>
        <v>0</v>
      </c>
      <c r="F40" s="8">
        <f>HLOOKUP("ConfirmedTWLY.ConfirmedBookingOverseasAgentDepartureYear",Sheet2!$1:$2,2,FALSE)</f>
        <v>0</v>
      </c>
      <c r="G40" s="5">
        <f>IFERROR((C40-F40)/F40,0)</f>
        <v>0</v>
      </c>
      <c r="H40" s="8">
        <f>HLOOKUP("ConfirmedTM.ConfirmedBookingOverseasAgentDepartureYear",Sheet2!$1:$2,2,FALSE)</f>
        <v>0</v>
      </c>
      <c r="I40" s="8">
        <f>HLOOKUP("ConfirmedTMLY.ConfirmedBookingOverseasAgentDepartureYear",Sheet2!$1:$2,2,FALSE)</f>
        <v>1</v>
      </c>
      <c r="J40" s="5">
        <f>IFERROR((H40-I40)/I40,0)</f>
        <v>-1</v>
      </c>
      <c r="K40" s="8">
        <f>HLOOKUP("ConfirmedTY.ConfirmedBookingOverseasAgentDepartureYear",Sheet2!$1:$2,2,FALSE)</f>
        <v>38</v>
      </c>
      <c r="L40" s="8">
        <f>HLOOKUP("ConfirmedLY.ConfirmedBookingOverseasAgentDepartureYear",Sheet2!$1:$2,2,FALSE)</f>
        <v>44</v>
      </c>
      <c r="M40" s="5">
        <f>IFERROR((K40-L40)/L40,0)</f>
        <v>-0.13636363636363635</v>
      </c>
      <c r="N40" s="8">
        <f>HLOOKUP("DepartureYearTY.ConfirmedBookingOverseasAgent",Sheet2!$1:$2,2,FALSE)</f>
        <v>42</v>
      </c>
      <c r="O40" s="8">
        <f>HLOOKUP("DepartureYearLY.ConfirmedBookingOverseasAgent",Sheet2!$1:$2,2,FALSE)</f>
        <v>44</v>
      </c>
      <c r="P40" s="5">
        <f>IFERROR((N40-O40)/O40,0)</f>
        <v>-4.5454545454545456E-2</v>
      </c>
    </row>
    <row r="41" spans="1:16">
      <c r="A41" s="1" t="s">
        <v>31</v>
      </c>
      <c r="C41" s="8">
        <f>HLOOKUP("ConfirmedTW.ConfirmedBookingWebsiteExcludingFODepartureYear",Sheet2!$1:$2,2,FALSE)</f>
        <v>9</v>
      </c>
      <c r="D41" s="8">
        <f>HLOOKUP("ConfirmedLW.ConfirmedBookingWebsiteExcludingFODepartureYear",Sheet2!$1:$2,2,FALSE)</f>
        <v>17</v>
      </c>
      <c r="E41" s="5">
        <f>IFERROR((C41-D41)/D41,0)</f>
        <v>-0.47058823529411764</v>
      </c>
      <c r="F41" s="8">
        <f>HLOOKUP("ConfirmedTWLY.ConfirmedBookingWebsiteExcludingFODepartureYear",Sheet2!$1:$2,2,FALSE)</f>
        <v>9</v>
      </c>
      <c r="G41" s="5">
        <f>IFERROR((C41-F41)/F41,0)</f>
        <v>0</v>
      </c>
      <c r="H41" s="8">
        <f>HLOOKUP("ConfirmedTM.ConfirmedBookingWebsiteExcludingFODepartureYear",Sheet2!$1:$2,2,FALSE)</f>
        <v>35</v>
      </c>
      <c r="I41" s="8">
        <f>HLOOKUP("ConfirmedTMLY.ConfirmedBookingWebsiteExcludingFODepartureYear",Sheet2!$1:$2,2,FALSE)</f>
        <v>25</v>
      </c>
      <c r="J41" s="5">
        <f>IFERROR((H41-I41)/I41,0)</f>
        <v>0.4</v>
      </c>
      <c r="K41" s="8">
        <f>HLOOKUP("ConfirmedTY.ConfirmedBookingWebsiteExcludingFODepartureYear",Sheet2!$1:$2,2,FALSE)</f>
        <v>877</v>
      </c>
      <c r="L41" s="8">
        <f>HLOOKUP("ConfirmedLY.ConfirmedBookingWebsiteExcludingFODepartureYear",Sheet2!$1:$2,2,FALSE)</f>
        <v>936</v>
      </c>
      <c r="M41" s="5">
        <f>IFERROR((K41-L41)/L41,0)</f>
        <v>-6.3034188034188032E-2</v>
      </c>
      <c r="N41" s="8">
        <f>HLOOKUP("DepartureYearTY.ConfirmedBookingWebsiteExcludingFO",Sheet2!$1:$2,2,FALSE)</f>
        <v>985</v>
      </c>
      <c r="O41" s="8">
        <f>HLOOKUP("DepartureYearLY.ConfirmedBookingWebsiteExcludingFO",Sheet2!$1:$2,2,FALSE)</f>
        <v>1035</v>
      </c>
      <c r="P41" s="5">
        <f>IFERROR((N41-O41)/O41,0)</f>
        <v>-4.8309178743961352E-2</v>
      </c>
    </row>
    <row r="42" spans="1:16">
      <c r="A42" s="11" t="s">
        <v>48</v>
      </c>
      <c r="C42" s="8"/>
      <c r="D42" s="8"/>
      <c r="E42" s="5"/>
      <c r="F42" s="8"/>
      <c r="G42" s="5"/>
      <c r="H42" s="8"/>
      <c r="I42" s="8"/>
      <c r="J42" s="5"/>
      <c r="K42" s="8"/>
      <c r="L42" s="8"/>
      <c r="M42" s="5"/>
      <c r="N42" s="8"/>
      <c r="O42" s="8"/>
      <c r="P42" s="5"/>
    </row>
    <row r="43" spans="1:16">
      <c r="A43" s="1" t="s">
        <v>49</v>
      </c>
      <c r="C43" s="8">
        <f>HLOOKUP("ConfirmedTW.ConfirmedBookingPreschoolSegmentExcludingFODepartureYear",Sheet2!$1:$2,2,FALSE)</f>
        <v>17</v>
      </c>
      <c r="D43" s="8">
        <f>HLOOKUP("ConfirmedLW.ConfirmedBookingPreschoolSegmentExcludingFODepartureYear",Sheet2!$1:$2,2,FALSE)</f>
        <v>24</v>
      </c>
      <c r="E43" s="5">
        <f t="shared" ref="E43:E49" si="11">IFERROR((C43-D43)/D43,0)</f>
        <v>-0.29166666666666669</v>
      </c>
      <c r="F43" s="8">
        <f>HLOOKUP("ConfirmedTWLY.ConfirmedBookingPreschoolSegmentExcludingFODepartureYear",Sheet2!$1:$2,2,FALSE)</f>
        <v>9</v>
      </c>
      <c r="G43" s="5">
        <f t="shared" ref="G43:G49" si="12">IFERROR((C43-F43)/F43,0)</f>
        <v>0.88888888888888884</v>
      </c>
      <c r="H43" s="8">
        <f>HLOOKUP("ConfirmedTM.ConfirmedBookingPreschoolSegmentExcludingFODepartureYear",Sheet2!$1:$2,2,FALSE)</f>
        <v>50</v>
      </c>
      <c r="I43" s="8">
        <f>HLOOKUP("ConfirmedTMLY.ConfirmedBookingPreschoolSegmentExcludingFODepartureYear",Sheet2!$1:$2,2,FALSE)</f>
        <v>30</v>
      </c>
      <c r="J43" s="5">
        <f t="shared" ref="J43:J49" si="13">IFERROR((H43-I43)/I43,0)</f>
        <v>0.66666666666666663</v>
      </c>
      <c r="K43" s="8">
        <f>HLOOKUP("ConfirmedTY.ConfirmedBookingPreschoolSegmentExcludingFODepartureYear",Sheet2!$1:$2,2,FALSE)</f>
        <v>777</v>
      </c>
      <c r="L43" s="8">
        <f>HLOOKUP("ConfirmedLY.ConfirmedBookingPreschoolSegmentExcludingFODepartureYear",Sheet2!$1:$2,2,FALSE)</f>
        <v>761</v>
      </c>
      <c r="M43" s="5">
        <f t="shared" ref="M43:M49" si="14">IFERROR((K43-L43)/L43,0)</f>
        <v>2.1024967148488831E-2</v>
      </c>
      <c r="N43" s="8">
        <f>HLOOKUP("DepartureYearTY.ConfirmedBookingPreschoolSegmentExcludingFO",Sheet2!$1:$2,2,FALSE)</f>
        <v>885</v>
      </c>
      <c r="O43" s="8">
        <f>HLOOKUP("DepartureYearLY.ConfirmedBookingPreschoolSegmentExcludingFO",Sheet2!$1:$2,2,FALSE)</f>
        <v>857</v>
      </c>
      <c r="P43" s="5">
        <f t="shared" ref="P43:P49" si="15">IFERROR((N43-O43)/O43,0)</f>
        <v>3.2672112018669777E-2</v>
      </c>
    </row>
    <row r="44" spans="1:16">
      <c r="A44" s="1" t="s">
        <v>50</v>
      </c>
      <c r="C44" s="8">
        <f>HLOOKUP("ConfirmedTW.ConfirmedBookingYoungFamilySegmentExcludingFODepartureYear",Sheet2!$1:$2,2,FALSE)</f>
        <v>15</v>
      </c>
      <c r="D44" s="8">
        <f>HLOOKUP("ConfirmedLW.ConfirmedBookingYoungFamilySegmentExcludingFODepartureYear",Sheet2!$1:$2,2,FALSE)</f>
        <v>14</v>
      </c>
      <c r="E44" s="5">
        <f t="shared" si="11"/>
        <v>7.1428571428571425E-2</v>
      </c>
      <c r="F44" s="8">
        <f>HLOOKUP("ConfirmedTWLY.ConfirmedBookingYoungFamilySegmentExcludingFODepartureYear",Sheet2!$1:$2,2,FALSE)</f>
        <v>11</v>
      </c>
      <c r="G44" s="5">
        <f t="shared" si="12"/>
        <v>0.36363636363636365</v>
      </c>
      <c r="H44" s="8">
        <f>HLOOKUP("ConfirmedTM.ConfirmedBookingYoungFamilySegmentExcludingFODepartureYear",Sheet2!$1:$2,2,FALSE)</f>
        <v>37</v>
      </c>
      <c r="I44" s="8">
        <f>HLOOKUP("ConfirmedTMLY.ConfirmedBookingYoungFamilySegmentExcludingFODepartureYear",Sheet2!$1:$2,2,FALSE)</f>
        <v>17</v>
      </c>
      <c r="J44" s="5">
        <f t="shared" si="13"/>
        <v>1.1764705882352942</v>
      </c>
      <c r="K44" s="8">
        <f>HLOOKUP("ConfirmedTY.ConfirmedBookingYoungFamilySegmentExcludingFODepartureYear",Sheet2!$1:$2,2,FALSE)</f>
        <v>574</v>
      </c>
      <c r="L44" s="8">
        <f>HLOOKUP("ConfirmedLY.ConfirmedBookingYoungFamilySegmentExcludingFODepartureYear",Sheet2!$1:$2,2,FALSE)</f>
        <v>546</v>
      </c>
      <c r="M44" s="5">
        <f t="shared" si="14"/>
        <v>5.128205128205128E-2</v>
      </c>
      <c r="N44" s="8">
        <f>HLOOKUP("DepartureYearTY.ConfirmedBookingYoungFamilySegmentExcludingFO",Sheet2!$1:$2,2,FALSE)</f>
        <v>680</v>
      </c>
      <c r="O44" s="8">
        <f>HLOOKUP("DepartureYearLY.ConfirmedBookingYoungFamilySegmentExcludingFO",Sheet2!$1:$2,2,FALSE)</f>
        <v>631</v>
      </c>
      <c r="P44" s="5">
        <f t="shared" si="15"/>
        <v>7.7654516640253565E-2</v>
      </c>
    </row>
    <row r="45" spans="1:16">
      <c r="A45" s="1" t="s">
        <v>51</v>
      </c>
      <c r="C45" s="8">
        <f>HLOOKUP("ConfirmedTW.ConfirmedBookingOlderFamilySegmentExcludingFODepartureYear",Sheet2!$1:$2,2,FALSE)</f>
        <v>8</v>
      </c>
      <c r="D45" s="8">
        <f>HLOOKUP("ConfirmedLW.ConfirmedBookingOlderFamilySegmentExcludingFODepartureYear",Sheet2!$1:$2,2,FALSE)</f>
        <v>13</v>
      </c>
      <c r="E45" s="5">
        <f t="shared" si="11"/>
        <v>-0.38461538461538464</v>
      </c>
      <c r="F45" s="8">
        <f>HLOOKUP("ConfirmedTWLY.ConfirmedBookingOlderFamilySegmentExcludingFODepartureYear",Sheet2!$1:$2,2,FALSE)</f>
        <v>9</v>
      </c>
      <c r="G45" s="5">
        <f t="shared" si="12"/>
        <v>-0.1111111111111111</v>
      </c>
      <c r="H45" s="8">
        <f>HLOOKUP("ConfirmedTM.ConfirmedBookingOlderFamilySegmentExcludingFODepartureYear",Sheet2!$1:$2,2,FALSE)</f>
        <v>26</v>
      </c>
      <c r="I45" s="8">
        <f>HLOOKUP("ConfirmedTMLY.ConfirmedBookingOlderFamilySegmentExcludingFODepartureYear",Sheet2!$1:$2,2,FALSE)</f>
        <v>23</v>
      </c>
      <c r="J45" s="5">
        <f t="shared" si="13"/>
        <v>0.13043478260869565</v>
      </c>
      <c r="K45" s="8">
        <f>HLOOKUP("ConfirmedTY.ConfirmedBookingOlderFamilySegmentExcludingFODepartureYear",Sheet2!$1:$2,2,FALSE)</f>
        <v>650</v>
      </c>
      <c r="L45" s="8">
        <f>HLOOKUP("ConfirmedLY.ConfirmedBookingOlderFamilySegmentExcludingFODepartureYear",Sheet2!$1:$2,2,FALSE)</f>
        <v>563</v>
      </c>
      <c r="M45" s="5">
        <f t="shared" si="14"/>
        <v>0.15452930728241562</v>
      </c>
      <c r="N45" s="8">
        <f>HLOOKUP("DepartureYearTY.ConfirmedBookingOlderFamilySegmentExcludingFO",Sheet2!$1:$2,2,FALSE)</f>
        <v>722</v>
      </c>
      <c r="O45" s="8">
        <f>HLOOKUP("DepartureYearLY.ConfirmedBookingOlderFamilySegmentExcludingFO",Sheet2!$1:$2,2,FALSE)</f>
        <v>628</v>
      </c>
      <c r="P45" s="5">
        <f t="shared" si="15"/>
        <v>0.14968152866242038</v>
      </c>
    </row>
    <row r="46" spans="1:16">
      <c r="A46" s="1" t="s">
        <v>52</v>
      </c>
      <c r="C46" s="8">
        <f>HLOOKUP("ConfirmedTW.ConfirmedBookingYoungCoupleSegmentExcludingFODepartureYear",Sheet2!$1:$2,2,FALSE)</f>
        <v>11</v>
      </c>
      <c r="D46" s="8">
        <f>HLOOKUP("ConfirmedLW.ConfirmedBookingYoungCoupleSegmentExcludingFODepartureYear",Sheet2!$1:$2,2,FALSE)</f>
        <v>11</v>
      </c>
      <c r="E46" s="5">
        <f t="shared" si="11"/>
        <v>0</v>
      </c>
      <c r="F46" s="8">
        <f>HLOOKUP("ConfirmedTWLY.ConfirmedBookingYoungCoupleSegmentExcludingFODepartureYear",Sheet2!$1:$2,2,FALSE)</f>
        <v>3</v>
      </c>
      <c r="G46" s="5">
        <f t="shared" si="12"/>
        <v>2.6666666666666665</v>
      </c>
      <c r="H46" s="8">
        <f>HLOOKUP("ConfirmedTM.ConfirmedBookingYoungCoupleSegmentExcludingFODepartureYear",Sheet2!$1:$2,2,FALSE)</f>
        <v>35</v>
      </c>
      <c r="I46" s="8">
        <f>HLOOKUP("ConfirmedTMLY.ConfirmedBookingYoungCoupleSegmentExcludingFODepartureYear",Sheet2!$1:$2,2,FALSE)</f>
        <v>13</v>
      </c>
      <c r="J46" s="5">
        <f t="shared" si="13"/>
        <v>1.6923076923076923</v>
      </c>
      <c r="K46" s="8">
        <f>HLOOKUP("ConfirmedTY.ConfirmedBookingYoungCoupleSegmentExcludingFODepartureYear",Sheet2!$1:$2,2,FALSE)</f>
        <v>284</v>
      </c>
      <c r="L46" s="8">
        <f>HLOOKUP("ConfirmedLY.ConfirmedBookingYoungCoupleSegmentExcludingFODepartureYear",Sheet2!$1:$2,2,FALSE)</f>
        <v>357</v>
      </c>
      <c r="M46" s="5">
        <f t="shared" si="14"/>
        <v>-0.20448179271708683</v>
      </c>
      <c r="N46" s="8">
        <f>HLOOKUP("DepartureYearTY.ConfirmedBookingYoungCoupleSegmentExcludingFO",Sheet2!$1:$2,2,FALSE)</f>
        <v>314</v>
      </c>
      <c r="O46" s="8">
        <f>HLOOKUP("DepartureYearLY.ConfirmedBookingYoungCoupleSegmentExcludingFO",Sheet2!$1:$2,2,FALSE)</f>
        <v>385</v>
      </c>
      <c r="P46" s="5">
        <f t="shared" si="15"/>
        <v>-0.18441558441558442</v>
      </c>
    </row>
    <row r="47" spans="1:16">
      <c r="A47" s="1" t="s">
        <v>53</v>
      </c>
      <c r="C47" s="8">
        <f>HLOOKUP("ConfirmedTW.ConfirmedBookingOlderCoupleSegmentExcludingFODepartureYear",Sheet2!$1:$2,2,FALSE)</f>
        <v>71</v>
      </c>
      <c r="D47" s="8">
        <f>HLOOKUP("ConfirmedLW.ConfirmedBookingOlderCoupleSegmentExcludingFODepartureYear",Sheet2!$1:$2,2,FALSE)</f>
        <v>72</v>
      </c>
      <c r="E47" s="5">
        <f t="shared" si="11"/>
        <v>-1.3888888888888888E-2</v>
      </c>
      <c r="F47" s="8">
        <f>HLOOKUP("ConfirmedTWLY.ConfirmedBookingOlderCoupleSegmentExcludingFODepartureYear",Sheet2!$1:$2,2,FALSE)</f>
        <v>37</v>
      </c>
      <c r="G47" s="5">
        <f t="shared" si="12"/>
        <v>0.91891891891891897</v>
      </c>
      <c r="H47" s="8">
        <f>HLOOKUP("ConfirmedTM.ConfirmedBookingOlderCoupleSegmentExcludingFODepartureYear",Sheet2!$1:$2,2,FALSE)</f>
        <v>179</v>
      </c>
      <c r="I47" s="8">
        <f>HLOOKUP("ConfirmedTMLY.ConfirmedBookingOlderCoupleSegmentExcludingFODepartureYear",Sheet2!$1:$2,2,FALSE)</f>
        <v>111</v>
      </c>
      <c r="J47" s="5">
        <f t="shared" si="13"/>
        <v>0.61261261261261257</v>
      </c>
      <c r="K47" s="8">
        <f>HLOOKUP("ConfirmedTY.ConfirmedBookingOlderCoupleSegmentExcludingFODepartureYear",Sheet2!$1:$2,2,FALSE)</f>
        <v>2362</v>
      </c>
      <c r="L47" s="8">
        <f>HLOOKUP("ConfirmedLY.ConfirmedBookingOlderCoupleSegmentExcludingFODepartureYear",Sheet2!$1:$2,2,FALSE)</f>
        <v>2351</v>
      </c>
      <c r="M47" s="5">
        <f t="shared" si="14"/>
        <v>4.6788600595491277E-3</v>
      </c>
      <c r="N47" s="8">
        <f>HLOOKUP("DepartureYearTY.ConfirmedBookingOlderCoupleSegmentExcludingFO",Sheet2!$1:$2,2,FALSE)</f>
        <v>2986</v>
      </c>
      <c r="O47" s="8">
        <f>HLOOKUP("DepartureYearLY.ConfirmedBookingOlderCoupleSegmentExcludingFO",Sheet2!$1:$2,2,FALSE)</f>
        <v>2846</v>
      </c>
      <c r="P47" s="5">
        <f t="shared" si="15"/>
        <v>4.9191848208011243E-2</v>
      </c>
    </row>
    <row r="48" spans="1:16">
      <c r="A48" s="1" t="s">
        <v>54</v>
      </c>
      <c r="C48" s="8">
        <f>HLOOKUP("ConfirmedTW.ConfirmedBookingAdultGroupSegmentExcludingFODepartureYear",Sheet2!$1:$2,2,FALSE)</f>
        <v>10</v>
      </c>
      <c r="D48" s="8">
        <f>HLOOKUP("ConfirmedLW.ConfirmedBookingAdultGroupSegmentExcludingFODepartureYear",Sheet2!$1:$2,2,FALSE)</f>
        <v>14</v>
      </c>
      <c r="E48" s="5">
        <f t="shared" si="11"/>
        <v>-0.2857142857142857</v>
      </c>
      <c r="F48" s="8">
        <f>HLOOKUP("ConfirmedTWLY.ConfirmedBookingAdultGroupSegmentExcludingFODepartureYear",Sheet2!$1:$2,2,FALSE)</f>
        <v>7</v>
      </c>
      <c r="G48" s="5">
        <f t="shared" si="12"/>
        <v>0.42857142857142855</v>
      </c>
      <c r="H48" s="8">
        <f>HLOOKUP("ConfirmedTM.ConfirmedBookingAdultGroupSegmentExcludingFODepartureYear",Sheet2!$1:$2,2,FALSE)</f>
        <v>35</v>
      </c>
      <c r="I48" s="8">
        <f>HLOOKUP("ConfirmedTMLY.ConfirmedBookingAdultGroupSegmentExcludingFODepartureYear",Sheet2!$1:$2,2,FALSE)</f>
        <v>25</v>
      </c>
      <c r="J48" s="5">
        <f t="shared" si="13"/>
        <v>0.4</v>
      </c>
      <c r="K48" s="8">
        <f>HLOOKUP("ConfirmedTY.ConfirmedBookingAdultGroupSegmentExcludingFODepartureYear",Sheet2!$1:$2,2,FALSE)</f>
        <v>933</v>
      </c>
      <c r="L48" s="8">
        <f>HLOOKUP("ConfirmedLY.ConfirmedBookingAdultGroupSegmentExcludingFODepartureYear",Sheet2!$1:$2,2,FALSE)</f>
        <v>866</v>
      </c>
      <c r="M48" s="5">
        <f t="shared" si="14"/>
        <v>7.7367205542725179E-2</v>
      </c>
      <c r="N48" s="8">
        <f>HLOOKUP("DepartureYearTY.ConfirmedBookingAdultGroupSegmentExcludingFO",Sheet2!$1:$2,2,FALSE)</f>
        <v>1136</v>
      </c>
      <c r="O48" s="8">
        <f>HLOOKUP("DepartureYearLY.ConfirmedBookingAdultGroupSegmentExcludingFO",Sheet2!$1:$2,2,FALSE)</f>
        <v>1051</v>
      </c>
      <c r="P48" s="5">
        <f t="shared" si="15"/>
        <v>8.0875356803044723E-2</v>
      </c>
    </row>
    <row r="49" spans="1:16">
      <c r="A49" s="1" t="s">
        <v>55</v>
      </c>
      <c r="C49" s="8">
        <f>HLOOKUP("ConfirmedTW.ConfirmedBookingOtherSegmentExcludingFODepartureYear",Sheet2!$1:$2,2,FALSE)</f>
        <v>1</v>
      </c>
      <c r="D49" s="8">
        <f>HLOOKUP("ConfirmedLW.ConfirmedBookingOtherSegmentExcludingFODepartureYear",Sheet2!$1:$2,2,FALSE)</f>
        <v>1</v>
      </c>
      <c r="E49" s="5">
        <f t="shared" si="11"/>
        <v>0</v>
      </c>
      <c r="F49" s="8">
        <f>HLOOKUP("ConfirmedTWLY.ConfirmedBookingOtherSegmentExcludingFODepartureYear",Sheet2!$1:$2,2,FALSE)</f>
        <v>0</v>
      </c>
      <c r="G49" s="5">
        <f t="shared" si="12"/>
        <v>0</v>
      </c>
      <c r="H49" s="8">
        <f>HLOOKUP("ConfirmedTM.ConfirmedBookingOtherSegmentExcludingFODepartureYear",Sheet2!$1:$2,2,FALSE)</f>
        <v>2</v>
      </c>
      <c r="I49" s="8">
        <f>HLOOKUP("ConfirmedTMLY.ConfirmedBookingOtherSegmentExcludingFODepartureYear",Sheet2!$1:$2,2,FALSE)</f>
        <v>2</v>
      </c>
      <c r="J49" s="5">
        <f t="shared" si="13"/>
        <v>0</v>
      </c>
      <c r="K49" s="8">
        <f>HLOOKUP("ConfirmedTY.ConfirmedBookingOtherSegmentExcludingFODepartureYear",Sheet2!$1:$2,2,FALSE)</f>
        <v>53</v>
      </c>
      <c r="L49" s="8">
        <f>HLOOKUP("ConfirmedLY.ConfirmedBookingOtherSegmentExcludingFODepartureYear",Sheet2!$1:$2,2,FALSE)</f>
        <v>36</v>
      </c>
      <c r="M49" s="5">
        <f t="shared" si="14"/>
        <v>0.47222222222222221</v>
      </c>
      <c r="N49" s="8">
        <f>HLOOKUP("DepartureYearTY.ConfirmedBookingOtherSegmentExcludingFO",Sheet2!$1:$2,2,FALSE)</f>
        <v>64</v>
      </c>
      <c r="O49" s="8">
        <f>HLOOKUP("DepartureYearLY.ConfirmedBookingOtherSegmentExcludingFO",Sheet2!$1:$2,2,FALSE)</f>
        <v>39</v>
      </c>
      <c r="P49" s="5">
        <f t="shared" si="15"/>
        <v>0.64102564102564108</v>
      </c>
    </row>
    <row r="50" spans="1:16">
      <c r="A50" s="11" t="s">
        <v>56</v>
      </c>
      <c r="C50" s="8"/>
      <c r="D50" s="8"/>
      <c r="E50" s="5"/>
      <c r="F50" s="8"/>
      <c r="G50" s="5"/>
      <c r="H50" s="8"/>
      <c r="I50" s="8"/>
      <c r="J50" s="5"/>
      <c r="K50" s="8"/>
      <c r="L50" s="8"/>
      <c r="M50" s="5"/>
      <c r="N50" s="8"/>
      <c r="O50" s="8"/>
      <c r="P50" s="5"/>
    </row>
    <row r="51" spans="1:16">
      <c r="A51" s="1" t="s">
        <v>57</v>
      </c>
      <c r="C51" s="8">
        <f>HLOOKUP("ConfirmedTW.ConfirmedBookingGreeceExcludingFODepartureYear",Sheet2!$1:$2,2,FALSE)</f>
        <v>83</v>
      </c>
      <c r="D51" s="8">
        <f>HLOOKUP("ConfirmedLW.ConfirmedBookingGreeceExcludingFODepartureYear",Sheet2!$1:$2,2,FALSE)</f>
        <v>84</v>
      </c>
      <c r="E51" s="5">
        <f t="shared" ref="E51:E57" si="16">IFERROR((C51-D51)/D51,0)</f>
        <v>-1.1904761904761904E-2</v>
      </c>
      <c r="F51" s="8">
        <f>HLOOKUP("ConfirmedTWLY.ConfirmedBookingGreeceExcludingFODepartureYear",Sheet2!$1:$2,2,FALSE)</f>
        <v>38</v>
      </c>
      <c r="G51" s="5">
        <f t="shared" ref="G51:G57" si="17">IFERROR((C51-F51)/F51,0)</f>
        <v>1.1842105263157894</v>
      </c>
      <c r="H51" s="8">
        <f>HLOOKUP("ConfirmedTM.ConfirmedBookingGreeceExcludingFODepartureYear",Sheet2!$1:$2,2,FALSE)</f>
        <v>214</v>
      </c>
      <c r="I51" s="8">
        <f>HLOOKUP("ConfirmedTMLY.ConfirmedBookingGreeceExcludingFODepartureYear",Sheet2!$1:$2,2,FALSE)</f>
        <v>112</v>
      </c>
      <c r="J51" s="5">
        <f t="shared" ref="J51:J57" si="18">IFERROR((H51-I51)/I51,0)</f>
        <v>0.9107142857142857</v>
      </c>
      <c r="K51" s="8">
        <f>HLOOKUP("ConfirmedTY.ConfirmedBookingGreeceExcludingFODepartureYear",Sheet2!$1:$2,2,FALSE)</f>
        <v>2842</v>
      </c>
      <c r="L51" s="8">
        <f>HLOOKUP("ConfirmedLY.ConfirmedBookingGreeceExcludingFODepartureYear",Sheet2!$1:$2,2,FALSE)</f>
        <v>2537</v>
      </c>
      <c r="M51" s="5">
        <f t="shared" ref="M51:M57" si="19">IFERROR((K51-L51)/L51,0)</f>
        <v>0.12022073314938904</v>
      </c>
      <c r="N51" s="8">
        <f>HLOOKUP("DepartureYearTY.ConfirmedBookingGreeceExcludingFO",Sheet2!$1:$2,2,FALSE)</f>
        <v>3425</v>
      </c>
      <c r="O51" s="8">
        <f>HLOOKUP("DepartureYearLY.ConfirmedBookingGreeceExcludingFO",Sheet2!$1:$2,2,FALSE)</f>
        <v>3188</v>
      </c>
      <c r="P51" s="5">
        <f t="shared" ref="P51:P57" si="20">IFERROR((N51-O51)/O51,0)</f>
        <v>7.4341279799247179E-2</v>
      </c>
    </row>
    <row r="52" spans="1:16">
      <c r="A52" s="1" t="s">
        <v>58</v>
      </c>
      <c r="C52" s="8">
        <f>HLOOKUP("ConfirmedTW.ConfirmedBookingMallorcaExcludingFODepartureYear",Sheet2!$1:$2,2,FALSE)</f>
        <v>5</v>
      </c>
      <c r="D52" s="8">
        <f>HLOOKUP("ConfirmedLW.ConfirmedBookingMallorcaExcludingFODepartureYear",Sheet2!$1:$2,2,FALSE)</f>
        <v>11</v>
      </c>
      <c r="E52" s="5">
        <f t="shared" si="16"/>
        <v>-0.54545454545454541</v>
      </c>
      <c r="F52" s="8">
        <f>HLOOKUP("ConfirmedTWLY.ConfirmedBookingMallorcaExcludingFODepartureYear",Sheet2!$1:$2,2,FALSE)</f>
        <v>10</v>
      </c>
      <c r="G52" s="5">
        <f t="shared" si="17"/>
        <v>-0.5</v>
      </c>
      <c r="H52" s="8">
        <f>HLOOKUP("ConfirmedTM.ConfirmedBookingMallorcaExcludingFODepartureYear",Sheet2!$1:$2,2,FALSE)</f>
        <v>25</v>
      </c>
      <c r="I52" s="8">
        <f>HLOOKUP("ConfirmedTMLY.ConfirmedBookingMallorcaExcludingFODepartureYear",Sheet2!$1:$2,2,FALSE)</f>
        <v>22</v>
      </c>
      <c r="J52" s="5">
        <f t="shared" si="18"/>
        <v>0.13636363636363635</v>
      </c>
      <c r="K52" s="8">
        <f>HLOOKUP("ConfirmedTY.ConfirmedBookingMallorcaExcludingFODepartureYear",Sheet2!$1:$2,2,FALSE)</f>
        <v>514</v>
      </c>
      <c r="L52" s="8">
        <f>HLOOKUP("ConfirmedLY.ConfirmedBookingMallorcaExcludingFODepartureYear",Sheet2!$1:$2,2,FALSE)</f>
        <v>570</v>
      </c>
      <c r="M52" s="5">
        <f t="shared" si="19"/>
        <v>-9.8245614035087719E-2</v>
      </c>
      <c r="N52" s="8">
        <f>HLOOKUP("DepartureYearTY.ConfirmedBookingMallorcaExcludingFO",Sheet2!$1:$2,2,FALSE)</f>
        <v>591</v>
      </c>
      <c r="O52" s="8">
        <f>HLOOKUP("DepartureYearLY.ConfirmedBookingMallorcaExcludingFO",Sheet2!$1:$2,2,FALSE)</f>
        <v>651</v>
      </c>
      <c r="P52" s="5">
        <f t="shared" si="20"/>
        <v>-9.2165898617511524E-2</v>
      </c>
    </row>
    <row r="53" spans="1:16">
      <c r="A53" s="1" t="s">
        <v>59</v>
      </c>
      <c r="C53" s="8">
        <f>HLOOKUP("ConfirmedTW.ConfirmedBookingItalyExcludingFODepartureYear",Sheet2!$1:$2,2,FALSE)</f>
        <v>13</v>
      </c>
      <c r="D53" s="8">
        <f>HLOOKUP("ConfirmedLW.ConfirmedBookingItalyExcludingFODepartureYear",Sheet2!$1:$2,2,FALSE)</f>
        <v>8</v>
      </c>
      <c r="E53" s="5">
        <f t="shared" si="16"/>
        <v>0.625</v>
      </c>
      <c r="F53" s="8">
        <f>HLOOKUP("ConfirmedTWLY.ConfirmedBookingItalyExcludingFODepartureYear",Sheet2!$1:$2,2,FALSE)</f>
        <v>6</v>
      </c>
      <c r="G53" s="5">
        <f t="shared" si="17"/>
        <v>1.1666666666666667</v>
      </c>
      <c r="H53" s="8">
        <f>HLOOKUP("ConfirmedTM.ConfirmedBookingItalyExcludingFODepartureYear",Sheet2!$1:$2,2,FALSE)</f>
        <v>24</v>
      </c>
      <c r="I53" s="8">
        <f>HLOOKUP("ConfirmedTMLY.ConfirmedBookingItalyExcludingFODepartureYear",Sheet2!$1:$2,2,FALSE)</f>
        <v>12</v>
      </c>
      <c r="J53" s="5">
        <f t="shared" si="18"/>
        <v>1</v>
      </c>
      <c r="K53" s="8">
        <f>HLOOKUP("ConfirmedTY.ConfirmedBookingItalyExcludingFODepartureYear",Sheet2!$1:$2,2,FALSE)</f>
        <v>347</v>
      </c>
      <c r="L53" s="8">
        <f>HLOOKUP("ConfirmedLY.ConfirmedBookingItalyExcludingFODepartureYear",Sheet2!$1:$2,2,FALSE)</f>
        <v>372</v>
      </c>
      <c r="M53" s="5">
        <f t="shared" si="19"/>
        <v>-6.7204301075268813E-2</v>
      </c>
      <c r="N53" s="8">
        <f>HLOOKUP("DepartureYearTY.ConfirmedBookingItalyExcludingFO",Sheet2!$1:$2,2,FALSE)</f>
        <v>401</v>
      </c>
      <c r="O53" s="8">
        <f>HLOOKUP("DepartureYearLY.ConfirmedBookingItalyExcludingFO",Sheet2!$1:$2,2,FALSE)</f>
        <v>404</v>
      </c>
      <c r="P53" s="5">
        <f t="shared" si="20"/>
        <v>-7.4257425742574254E-3</v>
      </c>
    </row>
    <row r="54" spans="1:16">
      <c r="A54" s="1" t="s">
        <v>60</v>
      </c>
      <c r="C54" s="8">
        <f>HLOOKUP("ConfirmedTW.ConfirmedBookingCorsicaExcludingFODepartureYear",Sheet2!$1:$2,2,FALSE)</f>
        <v>16</v>
      </c>
      <c r="D54" s="8">
        <f>HLOOKUP("ConfirmedLW.ConfirmedBookingCorsicaExcludingFODepartureYear",Sheet2!$1:$2,2,FALSE)</f>
        <v>15</v>
      </c>
      <c r="E54" s="5">
        <f t="shared" si="16"/>
        <v>6.6666666666666666E-2</v>
      </c>
      <c r="F54" s="8">
        <f>HLOOKUP("ConfirmedTWLY.ConfirmedBookingCorsicaExcludingFODepartureYear",Sheet2!$1:$2,2,FALSE)</f>
        <v>7</v>
      </c>
      <c r="G54" s="5">
        <f t="shared" si="17"/>
        <v>1.2857142857142858</v>
      </c>
      <c r="H54" s="8">
        <f>HLOOKUP("ConfirmedTM.ConfirmedBookingCorsicaExcludingFODepartureYear",Sheet2!$1:$2,2,FALSE)</f>
        <v>38</v>
      </c>
      <c r="I54" s="8">
        <f>HLOOKUP("ConfirmedTMLY.ConfirmedBookingCorsicaExcludingFODepartureYear",Sheet2!$1:$2,2,FALSE)</f>
        <v>29</v>
      </c>
      <c r="J54" s="5">
        <f t="shared" si="18"/>
        <v>0.31034482758620691</v>
      </c>
      <c r="K54" s="8">
        <f>HLOOKUP("ConfirmedTY.ConfirmedBookingCorsicaExcludingFODepartureYear",Sheet2!$1:$2,2,FALSE)</f>
        <v>718</v>
      </c>
      <c r="L54" s="8">
        <f>HLOOKUP("ConfirmedLY.ConfirmedBookingCorsicaExcludingFODepartureYear",Sheet2!$1:$2,2,FALSE)</f>
        <v>936</v>
      </c>
      <c r="M54" s="5">
        <f t="shared" si="19"/>
        <v>-0.23290598290598291</v>
      </c>
      <c r="N54" s="8">
        <f>HLOOKUP("DepartureYearTY.ConfirmedBookingCorsicaExcludingFO",Sheet2!$1:$2,2,FALSE)</f>
        <v>833</v>
      </c>
      <c r="O54" s="8">
        <f>HLOOKUP("DepartureYearLY.ConfirmedBookingCorsicaExcludingFO",Sheet2!$1:$2,2,FALSE)</f>
        <v>1028</v>
      </c>
      <c r="P54" s="5">
        <f t="shared" si="20"/>
        <v>-0.18968871595330739</v>
      </c>
    </row>
    <row r="55" spans="1:16">
      <c r="A55" s="1" t="s">
        <v>61</v>
      </c>
      <c r="C55" s="8">
        <f>HLOOKUP("ConfirmedTW.ConfirmedBookingTurkeyExcludingFODepartureYear",Sheet2!$1:$2,2,FALSE)</f>
        <v>15</v>
      </c>
      <c r="D55" s="8">
        <f>HLOOKUP("ConfirmedLW.ConfirmedBookingTurkeyExcludingFODepartureYear",Sheet2!$1:$2,2,FALSE)</f>
        <v>22</v>
      </c>
      <c r="E55" s="5">
        <f t="shared" si="16"/>
        <v>-0.31818181818181818</v>
      </c>
      <c r="F55" s="8">
        <f>HLOOKUP("ConfirmedTWLY.ConfirmedBookingTurkeyExcludingFODepartureYear",Sheet2!$1:$2,2,FALSE)</f>
        <v>13</v>
      </c>
      <c r="G55" s="5">
        <f t="shared" si="17"/>
        <v>0.15384615384615385</v>
      </c>
      <c r="H55" s="8">
        <f>HLOOKUP("ConfirmedTM.ConfirmedBookingTurkeyExcludingFODepartureYear",Sheet2!$1:$2,2,FALSE)</f>
        <v>51</v>
      </c>
      <c r="I55" s="8">
        <f>HLOOKUP("ConfirmedTMLY.ConfirmedBookingTurkeyExcludingFODepartureYear",Sheet2!$1:$2,2,FALSE)</f>
        <v>39</v>
      </c>
      <c r="J55" s="5">
        <f t="shared" si="18"/>
        <v>0.30769230769230771</v>
      </c>
      <c r="K55" s="8">
        <f>HLOOKUP("ConfirmedTY.ConfirmedBookingTurkeyExcludingFODepartureYear",Sheet2!$1:$2,2,FALSE)</f>
        <v>825</v>
      </c>
      <c r="L55" s="8">
        <f>HLOOKUP("ConfirmedLY.ConfirmedBookingTurkeyExcludingFODepartureYear",Sheet2!$1:$2,2,FALSE)</f>
        <v>813</v>
      </c>
      <c r="M55" s="5">
        <f t="shared" si="19"/>
        <v>1.4760147601476014E-2</v>
      </c>
      <c r="N55" s="8">
        <f>HLOOKUP("DepartureYearTY.ConfirmedBookingTurkeyExcludingFO",Sheet2!$1:$2,2,FALSE)</f>
        <v>1106</v>
      </c>
      <c r="O55" s="8">
        <f>HLOOKUP("DepartureYearLY.ConfirmedBookingTurkeyExcludingFO",Sheet2!$1:$2,2,FALSE)</f>
        <v>875</v>
      </c>
      <c r="P55" s="5">
        <f t="shared" si="20"/>
        <v>0.26400000000000001</v>
      </c>
    </row>
    <row r="56" spans="1:16">
      <c r="A56" s="1" t="s">
        <v>62</v>
      </c>
      <c r="C56" s="8">
        <f>HLOOKUP("ConfirmedTW.ConfirmedBookingFranceExcludingAquitaineExcludingFODepartureYear",Sheet2!$1:$2,2,FALSE)</f>
        <v>1</v>
      </c>
      <c r="D56" s="8">
        <f>HLOOKUP("ConfirmedLW.ConfirmedBookingFranceExcludingAquitaineExcludingFODepartureYear",Sheet2!$1:$2,2,FALSE)</f>
        <v>5</v>
      </c>
      <c r="E56" s="5">
        <f t="shared" si="16"/>
        <v>-0.8</v>
      </c>
      <c r="F56" s="8">
        <f>HLOOKUP("ConfirmedTWLY.ConfirmedBookingFranceExcludingAquitaineExcludingFODepartureYear",Sheet2!$1:$2,2,FALSE)</f>
        <v>2</v>
      </c>
      <c r="G56" s="5">
        <f t="shared" si="17"/>
        <v>-0.5</v>
      </c>
      <c r="H56" s="8">
        <f>HLOOKUP("ConfirmedTM.ConfirmedBookingFranceExcludingAquitaineExcludingFODepartureYear",Sheet2!$1:$2,2,FALSE)</f>
        <v>7</v>
      </c>
      <c r="I56" s="8">
        <f>HLOOKUP("ConfirmedTMLY.ConfirmedBookingFranceExcludingAquitaineExcludingFODepartureYear",Sheet2!$1:$2,2,FALSE)</f>
        <v>7</v>
      </c>
      <c r="J56" s="5">
        <f t="shared" si="18"/>
        <v>0</v>
      </c>
      <c r="K56" s="8">
        <f>HLOOKUP("ConfirmedTY.ConfirmedBookingFranceExcludingAquitaineExcludingFODepartureYear",Sheet2!$1:$2,2,FALSE)</f>
        <v>173</v>
      </c>
      <c r="L56" s="8">
        <f>HLOOKUP("ConfirmedLY.ConfirmedBookingFranceExcludingAquitaineExcludingFODepartureYear",Sheet2!$1:$2,2,FALSE)</f>
        <v>248</v>
      </c>
      <c r="M56" s="5">
        <f t="shared" si="19"/>
        <v>-0.30241935483870969</v>
      </c>
      <c r="N56" s="8">
        <f>HLOOKUP("DepartureYearTY.ConfirmedBookingFranceExcludingAquitaineExcludingFO",Sheet2!$1:$2,2,FALSE)</f>
        <v>217</v>
      </c>
      <c r="O56" s="8">
        <f>HLOOKUP("DepartureYearLY.ConfirmedBookingFranceExcludingAquitaineExcludingFO",Sheet2!$1:$2,2,FALSE)</f>
        <v>287</v>
      </c>
      <c r="P56" s="5">
        <f t="shared" si="20"/>
        <v>-0.24390243902439024</v>
      </c>
    </row>
    <row r="57" spans="1:16">
      <c r="A57" s="1" t="s">
        <v>63</v>
      </c>
      <c r="C57" s="8">
        <f>HLOOKUP("ConfirmedTW.ConfirmedBookingFranceExcludingFODepartureYear",Sheet2!$1:$2,2,FALSE)</f>
        <v>1</v>
      </c>
      <c r="D57" s="8">
        <f>HLOOKUP("ConfirmedLW.ConfirmedBookingFranceExcludingFODepartureYear",Sheet2!$1:$2,2,FALSE)</f>
        <v>10</v>
      </c>
      <c r="E57" s="5">
        <f t="shared" si="16"/>
        <v>-0.9</v>
      </c>
      <c r="F57" s="8">
        <f>HLOOKUP("ConfirmedTWLY.ConfirmedBookingFranceExcludingFODepartureYear",Sheet2!$1:$2,2,FALSE)</f>
        <v>2</v>
      </c>
      <c r="G57" s="5">
        <f t="shared" si="17"/>
        <v>-0.5</v>
      </c>
      <c r="H57" s="8">
        <f>HLOOKUP("ConfirmedTM.ConfirmedBookingFranceExcludingFODepartureYear",Sheet2!$1:$2,2,FALSE)</f>
        <v>13</v>
      </c>
      <c r="I57" s="8">
        <f>HLOOKUP("ConfirmedTMLY.ConfirmedBookingFranceExcludingFODepartureYear",Sheet2!$1:$2,2,FALSE)</f>
        <v>7</v>
      </c>
      <c r="J57" s="5">
        <f t="shared" si="18"/>
        <v>0.8571428571428571</v>
      </c>
      <c r="K57" s="8">
        <f>HLOOKUP("ConfirmedTY.ConfirmedBookingFranceExcludingFODepartureYear",Sheet2!$1:$2,2,FALSE)</f>
        <v>390</v>
      </c>
      <c r="L57" s="8">
        <f>HLOOKUP("ConfirmedLY.ConfirmedBookingFranceExcludingFODepartureYear",Sheet2!$1:$2,2,FALSE)</f>
        <v>248</v>
      </c>
      <c r="M57" s="5">
        <f t="shared" si="19"/>
        <v>0.57258064516129037</v>
      </c>
      <c r="N57" s="8">
        <f>HLOOKUP("DepartureYearTY.ConfirmedBookingFranceExcludingFO",Sheet2!$1:$2,2,FALSE)</f>
        <v>431</v>
      </c>
      <c r="O57" s="8">
        <f>HLOOKUP("DepartureYearLY.ConfirmedBookingFranceExcludingFO",Sheet2!$1:$2,2,FALSE)</f>
        <v>287</v>
      </c>
      <c r="P57" s="5">
        <f t="shared" si="20"/>
        <v>0.50174216027874563</v>
      </c>
    </row>
    <row r="58" spans="1:16">
      <c r="A58" s="11" t="s">
        <v>64</v>
      </c>
      <c r="C58" s="8"/>
      <c r="D58" s="8"/>
      <c r="E58" s="5"/>
      <c r="F58" s="8"/>
      <c r="G58" s="5"/>
      <c r="H58" s="8"/>
      <c r="I58" s="8"/>
      <c r="J58" s="5"/>
      <c r="K58" s="8"/>
      <c r="L58" s="8"/>
      <c r="M58" s="5"/>
      <c r="N58" s="8"/>
      <c r="O58" s="8"/>
      <c r="P58" s="5"/>
    </row>
    <row r="59" spans="1:16">
      <c r="A59" s="1" t="s">
        <v>65</v>
      </c>
      <c r="C59" s="8">
        <f>HLOOKUP("ConfirmedTW.ConfirmedBookingMayDepartureExcludingFODepartureYear",Sheet2!$1:$2,2,FALSE)</f>
        <v>0</v>
      </c>
      <c r="D59" s="8">
        <f>HLOOKUP("ConfirmedLW.ConfirmedBookingMayDepartureExcludingFODepartureYear",Sheet2!$1:$2,2,FALSE)</f>
        <v>0</v>
      </c>
      <c r="E59" s="5">
        <f t="shared" ref="E59:E64" si="21">IFERROR((C59-D59)/D59,0)</f>
        <v>0</v>
      </c>
      <c r="F59" s="8">
        <f>HLOOKUP("ConfirmedTWLY.ConfirmedBookingMayDepartureExcludingFODepartureYear",Sheet2!$1:$2,2,FALSE)</f>
        <v>0</v>
      </c>
      <c r="G59" s="5">
        <f t="shared" ref="G59:G64" si="22">IFERROR((C59-F59)/F59,0)</f>
        <v>0</v>
      </c>
      <c r="H59" s="8">
        <f>HLOOKUP("ConfirmedTM.ConfirmedBookingMayDepartureExcludingFODepartureYear",Sheet2!$1:$2,2,FALSE)</f>
        <v>0</v>
      </c>
      <c r="I59" s="8">
        <f>HLOOKUP("ConfirmedTMLY.ConfirmedBookingMayDepartureExcludingFODepartureYear",Sheet2!$1:$2,2,FALSE)</f>
        <v>0</v>
      </c>
      <c r="J59" s="5">
        <f t="shared" ref="J59:J64" si="23">IFERROR((H59-I59)/I59,0)</f>
        <v>0</v>
      </c>
      <c r="K59" s="8">
        <f>HLOOKUP("ConfirmedTY.ConfirmedBookingMayDepartureExcludingFODepartureYear",Sheet2!$1:$2,2,FALSE)</f>
        <v>654</v>
      </c>
      <c r="L59" s="8">
        <f>HLOOKUP("ConfirmedLY.ConfirmedBookingMayDepartureExcludingFODepartureYear",Sheet2!$1:$2,2,FALSE)</f>
        <v>740</v>
      </c>
      <c r="M59" s="5">
        <f t="shared" ref="M59:M64" si="24">IFERROR((K59-L59)/L59,0)</f>
        <v>-0.11621621621621622</v>
      </c>
      <c r="N59" s="8">
        <f>HLOOKUP("DepartureYearTY.ConfirmedBookingMayDepartureExcludingFO",Sheet2!$1:$2,2,FALSE)</f>
        <v>859</v>
      </c>
      <c r="O59" s="8">
        <f>HLOOKUP("DepartureYearLY.ConfirmedBookingMayDepartureExcludingFO",Sheet2!$1:$2,2,FALSE)</f>
        <v>881</v>
      </c>
      <c r="P59" s="5">
        <f t="shared" ref="P59:P64" si="25">IFERROR((N59-O59)/O59,0)</f>
        <v>-2.4971623155505107E-2</v>
      </c>
    </row>
    <row r="60" spans="1:16">
      <c r="A60" s="1" t="s">
        <v>66</v>
      </c>
      <c r="C60" s="8">
        <f>HLOOKUP("ConfirmedTW.ConfirmedBookingJuneDepartureExcludingFODepartureYear",Sheet2!$1:$2,2,FALSE)</f>
        <v>0</v>
      </c>
      <c r="D60" s="8">
        <f>HLOOKUP("ConfirmedLW.ConfirmedBookingJuneDepartureExcludingFODepartureYear",Sheet2!$1:$2,2,FALSE)</f>
        <v>0</v>
      </c>
      <c r="E60" s="5">
        <f t="shared" si="21"/>
        <v>0</v>
      </c>
      <c r="F60" s="8">
        <f>HLOOKUP("ConfirmedTWLY.ConfirmedBookingJuneDepartureExcludingFODepartureYear",Sheet2!$1:$2,2,FALSE)</f>
        <v>0</v>
      </c>
      <c r="G60" s="5">
        <f t="shared" si="22"/>
        <v>0</v>
      </c>
      <c r="H60" s="8">
        <f>HLOOKUP("ConfirmedTM.ConfirmedBookingJuneDepartureExcludingFODepartureYear",Sheet2!$1:$2,2,FALSE)</f>
        <v>0</v>
      </c>
      <c r="I60" s="8">
        <f>HLOOKUP("ConfirmedTMLY.ConfirmedBookingJuneDepartureExcludingFODepartureYear",Sheet2!$1:$2,2,FALSE)</f>
        <v>0</v>
      </c>
      <c r="J60" s="5">
        <f t="shared" si="23"/>
        <v>0</v>
      </c>
      <c r="K60" s="8">
        <f>HLOOKUP("ConfirmedTY.ConfirmedBookingJuneDepartureExcludingFODepartureYear",Sheet2!$1:$2,2,FALSE)</f>
        <v>1113</v>
      </c>
      <c r="L60" s="8">
        <f>HLOOKUP("ConfirmedLY.ConfirmedBookingJuneDepartureExcludingFODepartureYear",Sheet2!$1:$2,2,FALSE)</f>
        <v>1039</v>
      </c>
      <c r="M60" s="5">
        <f t="shared" si="24"/>
        <v>7.1222329162656403E-2</v>
      </c>
      <c r="N60" s="8">
        <f>HLOOKUP("DepartureYearTY.ConfirmedBookingJuneDepartureExcludingFO",Sheet2!$1:$2,2,FALSE)</f>
        <v>1478</v>
      </c>
      <c r="O60" s="8">
        <f>HLOOKUP("DepartureYearLY.ConfirmedBookingJuneDepartureExcludingFO",Sheet2!$1:$2,2,FALSE)</f>
        <v>1329</v>
      </c>
      <c r="P60" s="5">
        <f t="shared" si="25"/>
        <v>0.11211437170805116</v>
      </c>
    </row>
    <row r="61" spans="1:16">
      <c r="A61" s="1" t="s">
        <v>67</v>
      </c>
      <c r="C61" s="8">
        <f>HLOOKUP("ConfirmedTW.ConfirmedBookingJulyDepartureExcludingFODepartureYear",Sheet2!$1:$2,2,FALSE)</f>
        <v>0</v>
      </c>
      <c r="D61" s="8">
        <f>HLOOKUP("ConfirmedLW.ConfirmedBookingJulyDepartureExcludingFODepartureYear",Sheet2!$1:$2,2,FALSE)</f>
        <v>0</v>
      </c>
      <c r="E61" s="5">
        <f t="shared" si="21"/>
        <v>0</v>
      </c>
      <c r="F61" s="8">
        <f>HLOOKUP("ConfirmedTWLY.ConfirmedBookingJulyDepartureExcludingFODepartureYear",Sheet2!$1:$2,2,FALSE)</f>
        <v>0</v>
      </c>
      <c r="G61" s="5">
        <f t="shared" si="22"/>
        <v>0</v>
      </c>
      <c r="H61" s="8">
        <f>HLOOKUP("ConfirmedTM.ConfirmedBookingJulyDepartureExcludingFODepartureYear",Sheet2!$1:$2,2,FALSE)</f>
        <v>0</v>
      </c>
      <c r="I61" s="8">
        <f>HLOOKUP("ConfirmedTMLY.ConfirmedBookingJulyDepartureExcludingFODepartureYear",Sheet2!$1:$2,2,FALSE)</f>
        <v>0</v>
      </c>
      <c r="J61" s="5">
        <f t="shared" si="23"/>
        <v>0</v>
      </c>
      <c r="K61" s="8">
        <f>HLOOKUP("ConfirmedTY.ConfirmedBookingJulyDepartureExcludingFODepartureYear",Sheet2!$1:$2,2,FALSE)</f>
        <v>1067</v>
      </c>
      <c r="L61" s="8">
        <f>HLOOKUP("ConfirmedLY.ConfirmedBookingJulyDepartureExcludingFODepartureYear",Sheet2!$1:$2,2,FALSE)</f>
        <v>1151</v>
      </c>
      <c r="M61" s="5">
        <f t="shared" si="24"/>
        <v>-7.2980017376194611E-2</v>
      </c>
      <c r="N61" s="8">
        <f>HLOOKUP("DepartureYearTY.ConfirmedBookingJulyDepartureExcludingFO",Sheet2!$1:$2,2,FALSE)</f>
        <v>1227</v>
      </c>
      <c r="O61" s="8">
        <f>HLOOKUP("DepartureYearLY.ConfirmedBookingJulyDepartureExcludingFO",Sheet2!$1:$2,2,FALSE)</f>
        <v>1347</v>
      </c>
      <c r="P61" s="5">
        <f t="shared" si="25"/>
        <v>-8.9086859688195991E-2</v>
      </c>
    </row>
    <row r="62" spans="1:16">
      <c r="A62" s="1" t="s">
        <v>68</v>
      </c>
      <c r="C62" s="8">
        <f>HLOOKUP("ConfirmedTW.ConfirmedBookingAugustDepartureExcludingFODepartureYear",Sheet2!$1:$2,2,FALSE)</f>
        <v>57</v>
      </c>
      <c r="D62" s="8">
        <f>HLOOKUP("ConfirmedLW.ConfirmedBookingAugustDepartureExcludingFODepartureYear",Sheet2!$1:$2,2,FALSE)</f>
        <v>68</v>
      </c>
      <c r="E62" s="5">
        <f t="shared" si="21"/>
        <v>-0.16176470588235295</v>
      </c>
      <c r="F62" s="8">
        <f>HLOOKUP("ConfirmedTWLY.ConfirmedBookingAugustDepartureExcludingFODepartureYear",Sheet2!$1:$2,2,FALSE)</f>
        <v>32</v>
      </c>
      <c r="G62" s="5">
        <f t="shared" si="22"/>
        <v>0.78125</v>
      </c>
      <c r="H62" s="8">
        <f>HLOOKUP("ConfirmedTM.ConfirmedBookingAugustDepartureExcludingFODepartureYear",Sheet2!$1:$2,2,FALSE)</f>
        <v>159</v>
      </c>
      <c r="I62" s="8">
        <f>HLOOKUP("ConfirmedTMLY.ConfirmedBookingAugustDepartureExcludingFODepartureYear",Sheet2!$1:$2,2,FALSE)</f>
        <v>91</v>
      </c>
      <c r="J62" s="5">
        <f t="shared" si="23"/>
        <v>0.74725274725274726</v>
      </c>
      <c r="K62" s="8">
        <f>HLOOKUP("ConfirmedTY.ConfirmedBookingAugustDepartureExcludingFODepartureYear",Sheet2!$1:$2,2,FALSE)</f>
        <v>1354</v>
      </c>
      <c r="L62" s="8">
        <f>HLOOKUP("ConfirmedLY.ConfirmedBookingAugustDepartureExcludingFODepartureYear",Sheet2!$1:$2,2,FALSE)</f>
        <v>1107</v>
      </c>
      <c r="M62" s="5">
        <f t="shared" si="24"/>
        <v>0.22312556458897922</v>
      </c>
      <c r="N62" s="8">
        <f>HLOOKUP("DepartureYearTY.ConfirmedBookingAugustDepartureExcludingFO",Sheet2!$1:$2,2,FALSE)</f>
        <v>1511</v>
      </c>
      <c r="O62" s="8">
        <f>HLOOKUP("DepartureYearLY.ConfirmedBookingAugustDepartureExcludingFO",Sheet2!$1:$2,2,FALSE)</f>
        <v>1229</v>
      </c>
      <c r="P62" s="5">
        <f t="shared" si="25"/>
        <v>0.22945484133441824</v>
      </c>
    </row>
    <row r="63" spans="1:16">
      <c r="A63" s="1" t="s">
        <v>69</v>
      </c>
      <c r="C63" s="8">
        <f>HLOOKUP("ConfirmedTW.ConfirmedBookingSeptemberDepartureExcludingFODepartureYear",Sheet2!$1:$2,2,FALSE)</f>
        <v>59</v>
      </c>
      <c r="D63" s="8">
        <f>HLOOKUP("ConfirmedLW.ConfirmedBookingSeptemberDepartureExcludingFODepartureYear",Sheet2!$1:$2,2,FALSE)</f>
        <v>56</v>
      </c>
      <c r="E63" s="5">
        <f t="shared" si="21"/>
        <v>5.3571428571428568E-2</v>
      </c>
      <c r="F63" s="8">
        <f>HLOOKUP("ConfirmedTWLY.ConfirmedBookingSeptemberDepartureExcludingFODepartureYear",Sheet2!$1:$2,2,FALSE)</f>
        <v>29</v>
      </c>
      <c r="G63" s="5">
        <f t="shared" si="22"/>
        <v>1.0344827586206897</v>
      </c>
      <c r="H63" s="8">
        <f>HLOOKUP("ConfirmedTM.ConfirmedBookingSeptemberDepartureExcludingFODepartureYear",Sheet2!$1:$2,2,FALSE)</f>
        <v>151</v>
      </c>
      <c r="I63" s="8">
        <f>HLOOKUP("ConfirmedTMLY.ConfirmedBookingSeptemberDepartureExcludingFODepartureYear",Sheet2!$1:$2,2,FALSE)</f>
        <v>91</v>
      </c>
      <c r="J63" s="5">
        <f t="shared" si="23"/>
        <v>0.65934065934065933</v>
      </c>
      <c r="K63" s="8">
        <f>HLOOKUP("ConfirmedTY.ConfirmedBookingSeptemberDepartureExcludingFODepartureYear",Sheet2!$1:$2,2,FALSE)</f>
        <v>1115</v>
      </c>
      <c r="L63" s="8">
        <f>HLOOKUP("ConfirmedLY.ConfirmedBookingSeptemberDepartureExcludingFODepartureYear",Sheet2!$1:$2,2,FALSE)</f>
        <v>1120</v>
      </c>
      <c r="M63" s="5">
        <f t="shared" si="24"/>
        <v>-4.464285714285714E-3</v>
      </c>
      <c r="N63" s="8">
        <f>HLOOKUP("DepartureYearTY.ConfirmedBookingSeptemberDepartureExcludingFO",Sheet2!$1:$2,2,FALSE)</f>
        <v>1359</v>
      </c>
      <c r="O63" s="8">
        <f>HLOOKUP("DepartureYearLY.ConfirmedBookingSeptemberDepartureExcludingFO",Sheet2!$1:$2,2,FALSE)</f>
        <v>1308</v>
      </c>
      <c r="P63" s="5">
        <f t="shared" si="25"/>
        <v>3.8990825688073397E-2</v>
      </c>
    </row>
    <row r="64" spans="1:16">
      <c r="A64" s="1" t="s">
        <v>70</v>
      </c>
      <c r="C64" s="8">
        <f>HLOOKUP("ConfirmedTW.ConfirmedBookingOctoberDepartureExcludingFODepartureYear",Sheet2!$1:$2,2,FALSE)</f>
        <v>17</v>
      </c>
      <c r="D64" s="8">
        <f>HLOOKUP("ConfirmedLW.ConfirmedBookingOctoberDepartureExcludingFODepartureYear",Sheet2!$1:$2,2,FALSE)</f>
        <v>25</v>
      </c>
      <c r="E64" s="5">
        <f t="shared" si="21"/>
        <v>-0.32</v>
      </c>
      <c r="F64" s="8">
        <f>HLOOKUP("ConfirmedTWLY.ConfirmedBookingOctoberDepartureExcludingFODepartureYear",Sheet2!$1:$2,2,FALSE)</f>
        <v>15</v>
      </c>
      <c r="G64" s="5">
        <f t="shared" si="22"/>
        <v>0.13333333333333333</v>
      </c>
      <c r="H64" s="8">
        <f>HLOOKUP("ConfirmedTM.ConfirmedBookingOctoberDepartureExcludingFODepartureYear",Sheet2!$1:$2,2,FALSE)</f>
        <v>54</v>
      </c>
      <c r="I64" s="8">
        <f>HLOOKUP("ConfirmedTMLY.ConfirmedBookingOctoberDepartureExcludingFODepartureYear",Sheet2!$1:$2,2,FALSE)</f>
        <v>39</v>
      </c>
      <c r="J64" s="5">
        <f t="shared" si="23"/>
        <v>0.38461538461538464</v>
      </c>
      <c r="K64" s="8">
        <f>HLOOKUP("ConfirmedTY.ConfirmedBookingOctoberDepartureExcludingFODepartureYear",Sheet2!$1:$2,2,FALSE)</f>
        <v>264</v>
      </c>
      <c r="L64" s="8">
        <f>HLOOKUP("ConfirmedLY.ConfirmedBookingOctoberDepartureExcludingFODepartureYear",Sheet2!$1:$2,2,FALSE)</f>
        <v>246</v>
      </c>
      <c r="M64" s="5">
        <f t="shared" si="24"/>
        <v>7.3170731707317069E-2</v>
      </c>
      <c r="N64" s="8">
        <f>HLOOKUP("DepartureYearTY.ConfirmedBookingOctoberDepartureExcludingFO",Sheet2!$1:$2,2,FALSE)</f>
        <v>280</v>
      </c>
      <c r="O64" s="8">
        <f>HLOOKUP("DepartureYearLY.ConfirmedBookingOctoberDepartureExcludingFO",Sheet2!$1:$2,2,FALSE)</f>
        <v>257</v>
      </c>
      <c r="P64" s="5">
        <f t="shared" si="25"/>
        <v>8.9494163424124515E-2</v>
      </c>
    </row>
    <row r="65" spans="1:16">
      <c r="A65" s="12"/>
      <c r="C65" s="8"/>
      <c r="D65" s="8"/>
      <c r="E65" s="5"/>
      <c r="F65" s="8"/>
      <c r="G65" s="5"/>
      <c r="H65" s="8"/>
      <c r="I65" s="8"/>
      <c r="J65" s="5"/>
      <c r="K65" s="8"/>
      <c r="L65" s="8"/>
      <c r="M65" s="5"/>
      <c r="N65" s="8"/>
      <c r="O65" s="8"/>
      <c r="P65" s="5"/>
    </row>
    <row r="66" spans="1:16">
      <c r="A66" s="13" t="s">
        <v>71</v>
      </c>
      <c r="C66" s="8"/>
      <c r="D66" s="8"/>
      <c r="E66" s="5"/>
      <c r="F66" s="8"/>
      <c r="G66" s="5"/>
      <c r="H66" s="8"/>
      <c r="I66" s="8"/>
      <c r="J66" s="5"/>
      <c r="K66" s="8"/>
      <c r="L66" s="8"/>
      <c r="M66" s="5"/>
      <c r="N66" s="8"/>
      <c r="O66" s="8"/>
      <c r="P66" s="5"/>
    </row>
    <row r="67" spans="1:16">
      <c r="A67" s="2" t="s">
        <v>43</v>
      </c>
      <c r="C67" s="8"/>
      <c r="D67" s="8"/>
      <c r="E67" s="5"/>
      <c r="F67" s="8"/>
      <c r="G67" s="5"/>
      <c r="H67" s="8"/>
      <c r="I67" s="8"/>
      <c r="J67" s="5"/>
      <c r="K67" s="8"/>
      <c r="L67" s="8"/>
      <c r="M67" s="5"/>
      <c r="N67" s="8"/>
      <c r="O67" s="8"/>
      <c r="P67" s="5"/>
    </row>
    <row r="68" spans="1:16">
      <c r="A68" s="1" t="s">
        <v>44</v>
      </c>
      <c r="C68" s="7">
        <f>HLOOKUP("ConfirmedTW.ConfirmedRevenuePastClientExcludingFODepartureYear",Sheet2!$1:$2,2,FALSE)</f>
        <v>141930.95000000001</v>
      </c>
      <c r="D68" s="7">
        <f>HLOOKUP("ConfirmedLW.ConfirmedRevenuePastClientExcludingFODepartureYear",Sheet2!$1:$2,2,FALSE)</f>
        <v>187220.13</v>
      </c>
      <c r="E68" s="5">
        <f>IFERROR((C68-D68)/D68,0)</f>
        <v>-0.24190336797650974</v>
      </c>
      <c r="F68" s="7">
        <f>HLOOKUP("ConfirmedTWLY.ConfirmedRevenuePastClientExcludingFODepartureYear",Sheet2!$1:$2,2,FALSE)</f>
        <v>86193.5</v>
      </c>
      <c r="G68" s="5">
        <f>IFERROR((C68-F68)/F68,0)</f>
        <v>0.646654910173041</v>
      </c>
      <c r="H68" s="7">
        <f>HLOOKUP("ConfirmedTM.ConfirmedRevenuePastClientExcludingFODepartureYear",Sheet2!$1:$2,2,FALSE)</f>
        <v>431160.88</v>
      </c>
      <c r="I68" s="7">
        <f>HLOOKUP("ConfirmedTMLY.ConfirmedRevenuePastClientExcludingFODepartureYear",Sheet2!$1:$2,2,FALSE)</f>
        <v>242365.14</v>
      </c>
      <c r="J68" s="5">
        <f>IFERROR((H68-I68)/I68,0)</f>
        <v>0.77897233900881946</v>
      </c>
      <c r="K68" s="7">
        <f>HLOOKUP("ConfirmedTY.ConfirmedRevenuePastClientExcludingFODepartureYear",Sheet2!$1:$2,2,FALSE)</f>
        <v>11133209.1</v>
      </c>
      <c r="L68" s="7">
        <f>HLOOKUP("ConfirmedLY.ConfirmedRevenuePastClientExcludingFODepartureYear",Sheet2!$1:$2,2,FALSE)</f>
        <v>9393668.8400000092</v>
      </c>
      <c r="M68" s="5">
        <f>IFERROR((K68-L68)/L68,0)</f>
        <v>0.18518219980171122</v>
      </c>
      <c r="N68" s="7">
        <f>HLOOKUP("DepartureYearTY.ConfirmedRevenuePastClientExcludingFO",Sheet2!$1:$2,2,FALSE)</f>
        <v>14996249.380000001</v>
      </c>
      <c r="O68" s="7">
        <f>HLOOKUP("DepartureYearLY.ConfirmedRevenuePastClientExcludingFO",Sheet2!$1:$2,2,FALSE)</f>
        <v>12738537.23</v>
      </c>
      <c r="P68" s="5">
        <f>IFERROR((N68-O68)/O68,0)</f>
        <v>0.17723480406234995</v>
      </c>
    </row>
    <row r="69" spans="1:16">
      <c r="A69" s="1" t="s">
        <v>72</v>
      </c>
      <c r="C69" s="7">
        <f>HLOOKUP("ConfirmedTW.ConfirmedRevenueNewClientExcludingFODepartureYear",Sheet2!$1:$2,2,FALSE)</f>
        <v>248463.38</v>
      </c>
      <c r="D69" s="7">
        <f>HLOOKUP("ConfirmedLW.ConfirmedRevenueNewClientExcludingFODepartureYear",Sheet2!$1:$2,2,FALSE)</f>
        <v>290417.38</v>
      </c>
      <c r="E69" s="5">
        <f>IFERROR((C69-D69)/D69,0)</f>
        <v>-0.14446105119466335</v>
      </c>
      <c r="F69" s="7">
        <f>HLOOKUP("ConfirmedTWLY.ConfirmedRevenueNewClientExcludingFODepartureYear",Sheet2!$1:$2,2,FALSE)</f>
        <v>140008.13</v>
      </c>
      <c r="G69" s="5">
        <f>IFERROR((C69-F69)/F69,0)</f>
        <v>0.77463537296012741</v>
      </c>
      <c r="H69" s="7">
        <f>HLOOKUP("ConfirmedTM.ConfirmedRevenueNewClientExcludingFODepartureYear",Sheet2!$1:$2,2,FALSE)</f>
        <v>680369.72</v>
      </c>
      <c r="I69" s="7">
        <f>HLOOKUP("ConfirmedTMLY.ConfirmedRevenueNewClientExcludingFODepartureYear",Sheet2!$1:$2,2,FALSE)</f>
        <v>410353.93</v>
      </c>
      <c r="J69" s="5">
        <f>IFERROR((H69-I69)/I69,0)</f>
        <v>0.65800707696402461</v>
      </c>
      <c r="K69" s="7">
        <f>HLOOKUP("ConfirmedTY.ConfirmedRevenueNewClientExcludingFODepartureYear",Sheet2!$1:$2,2,FALSE)</f>
        <v>12207327.949999999</v>
      </c>
      <c r="L69" s="7">
        <f>HLOOKUP("ConfirmedLY.ConfirmedRevenueNewClientExcludingFODepartureYear",Sheet2!$1:$2,2,FALSE)</f>
        <v>12496076.35</v>
      </c>
      <c r="M69" s="5">
        <f>IFERROR((K69-L69)/L69,0)</f>
        <v>-2.3107125141725016E-2</v>
      </c>
      <c r="N69" s="7">
        <f>HLOOKUP("DepartureYearTY.ConfirmedRevenueNewClientExcludingFO",Sheet2!$1:$2,2,FALSE)</f>
        <v>13873254.26</v>
      </c>
      <c r="O69" s="7">
        <f>HLOOKUP("DepartureYearLY.ConfirmedRevenueNewClientExcludingFO",Sheet2!$1:$2,2,FALSE)</f>
        <v>13976835.390000001</v>
      </c>
      <c r="P69" s="5">
        <f>IFERROR((N69-O69)/O69,0)</f>
        <v>-7.4109143529092402E-3</v>
      </c>
    </row>
    <row r="70" spans="1:16">
      <c r="A70" s="1" t="s">
        <v>46</v>
      </c>
      <c r="C70" s="7">
        <f>HLOOKUP("ConfirmedTW.ConfirmedRevenueUKAgentDepartureYear",Sheet2!$1:$2,2,FALSE)</f>
        <v>21996.07</v>
      </c>
      <c r="D70" s="7">
        <f>HLOOKUP("ConfirmedLW.ConfirmedRevenueUKAgentDepartureYear",Sheet2!$1:$2,2,FALSE)</f>
        <v>24319.34</v>
      </c>
      <c r="E70" s="5">
        <f>IFERROR((C70-D70)/D70,0)</f>
        <v>-9.5531786635657076E-2</v>
      </c>
      <c r="F70" s="7">
        <f>HLOOKUP("ConfirmedTWLY.ConfirmedRevenueUKAgentDepartureYear",Sheet2!$1:$2,2,FALSE)</f>
        <v>11174.66</v>
      </c>
      <c r="G70" s="5">
        <f>IFERROR((C70-F70)/F70,0)</f>
        <v>0.96838829995722464</v>
      </c>
      <c r="H70" s="7">
        <f>HLOOKUP("ConfirmedTM.ConfirmedRevenueUKAgentDepartureYear",Sheet2!$1:$2,2,FALSE)</f>
        <v>57568.23</v>
      </c>
      <c r="I70" s="7">
        <f>HLOOKUP("ConfirmedTMLY.ConfirmedRevenueUKAgentDepartureYear",Sheet2!$1:$2,2,FALSE)</f>
        <v>35426.660000000003</v>
      </c>
      <c r="J70" s="5">
        <f>IFERROR((H70-I70)/I70,0)</f>
        <v>0.62499738897203394</v>
      </c>
      <c r="K70" s="7">
        <f>HLOOKUP("ConfirmedTY.ConfirmedRevenueUKAgentDepartureYear",Sheet2!$1:$2,2,FALSE)</f>
        <v>1146531.46</v>
      </c>
      <c r="L70" s="7">
        <f>HLOOKUP("ConfirmedLY.ConfirmedRevenueUKAgentDepartureYear",Sheet2!$1:$2,2,FALSE)</f>
        <v>882893</v>
      </c>
      <c r="M70" s="5">
        <f>IFERROR((K70-L70)/L70,0)</f>
        <v>0.29860748697747064</v>
      </c>
      <c r="N70" s="7">
        <f>HLOOKUP("DepartureYearTY.ConfirmedRevenueUKAgent",Sheet2!$1:$2,2,FALSE)</f>
        <v>1334656.98</v>
      </c>
      <c r="O70" s="7">
        <f>HLOOKUP("DepartureYearLY.ConfirmedRevenueUKAgent",Sheet2!$1:$2,2,FALSE)</f>
        <v>1036716</v>
      </c>
      <c r="P70" s="5">
        <f>IFERROR((N70-O70)/O70,0)</f>
        <v>0.28738919819892811</v>
      </c>
    </row>
    <row r="71" spans="1:16">
      <c r="A71" s="1" t="s">
        <v>47</v>
      </c>
      <c r="C71" s="7">
        <f>HLOOKUP("ConfirmedTW.ConfirmedRevenueOverseasAgentDepartureYear",Sheet2!$1:$2,2,FALSE)</f>
        <v>0</v>
      </c>
      <c r="D71" s="7">
        <f>HLOOKUP("ConfirmedLW.ConfirmedRevenueOverseasAgentDepartureYear",Sheet2!$1:$2,2,FALSE)</f>
        <v>0</v>
      </c>
      <c r="E71" s="5">
        <f>IFERROR((C71-D71)/D71,0)</f>
        <v>0</v>
      </c>
      <c r="F71" s="7">
        <f>HLOOKUP("ConfirmedTWLY.ConfirmedRevenueOverseasAgentDepartureYear",Sheet2!$1:$2,2,FALSE)</f>
        <v>0</v>
      </c>
      <c r="G71" s="5">
        <f>IFERROR((C71-F71)/F71,0)</f>
        <v>0</v>
      </c>
      <c r="H71" s="7">
        <f>HLOOKUP("ConfirmedTM.ConfirmedRevenueOverseasAgentDepartureYear",Sheet2!$1:$2,2,FALSE)</f>
        <v>0</v>
      </c>
      <c r="I71" s="7">
        <f>HLOOKUP("ConfirmedTMLY.ConfirmedRevenueOverseasAgentDepartureYear",Sheet2!$1:$2,2,FALSE)</f>
        <v>10296.56</v>
      </c>
      <c r="J71" s="5">
        <f>IFERROR((H71-I71)/I71,0)</f>
        <v>-1</v>
      </c>
      <c r="K71" s="7">
        <f>HLOOKUP("ConfirmedTY.ConfirmedRevenueOverseasAgentDepartureYear",Sheet2!$1:$2,2,FALSE)</f>
        <v>256026.74</v>
      </c>
      <c r="L71" s="7">
        <f>HLOOKUP("ConfirmedLY.ConfirmedRevenueOverseasAgentDepartureYear",Sheet2!$1:$2,2,FALSE)</f>
        <v>228564.1</v>
      </c>
      <c r="M71" s="5">
        <f>IFERROR((K71-L71)/L71,0)</f>
        <v>0.1201529024024332</v>
      </c>
      <c r="N71" s="7">
        <f>HLOOKUP("DepartureYearTY.ConfirmedRevenueOverseasAgent",Sheet2!$1:$2,2,FALSE)</f>
        <v>269231.48</v>
      </c>
      <c r="O71" s="7">
        <f>HLOOKUP("DepartureYearLY.ConfirmedRevenueOverseasAgent",Sheet2!$1:$2,2,FALSE)</f>
        <v>228564.1</v>
      </c>
      <c r="P71" s="5">
        <f>IFERROR((N71-O71)/O71,0)</f>
        <v>0.17792549223609472</v>
      </c>
    </row>
    <row r="72" spans="1:16">
      <c r="A72" s="1" t="s">
        <v>73</v>
      </c>
      <c r="C72" s="7">
        <f>HLOOKUP("ConfirmedTW.ConfirmedRevenueWebsiteExcludingFODepartureYear",Sheet2!$1:$2,2,FALSE)</f>
        <v>24824</v>
      </c>
      <c r="D72" s="7">
        <f>HLOOKUP("ConfirmedLW.ConfirmedRevenueWebsiteExcludingFODepartureYear",Sheet2!$1:$2,2,FALSE)</f>
        <v>52502</v>
      </c>
      <c r="E72" s="5">
        <f>IFERROR((C72-D72)/D72,0)</f>
        <v>-0.52717991695554456</v>
      </c>
      <c r="F72" s="7">
        <f>HLOOKUP("ConfirmedTWLY.ConfirmedRevenueWebsiteExcludingFODepartureYear",Sheet2!$1:$2,2,FALSE)</f>
        <v>25067</v>
      </c>
      <c r="G72" s="5">
        <f>IFERROR((C72-F72)/F72,0)</f>
        <v>-9.6940200263294363E-3</v>
      </c>
      <c r="H72" s="7">
        <f>HLOOKUP("ConfirmedTM.ConfirmedRevenueWebsiteExcludingFODepartureYear",Sheet2!$1:$2,2,FALSE)</f>
        <v>99574</v>
      </c>
      <c r="I72" s="7">
        <f>HLOOKUP("ConfirmedTMLY.ConfirmedRevenueWebsiteExcludingFODepartureYear",Sheet2!$1:$2,2,FALSE)</f>
        <v>68572.58</v>
      </c>
      <c r="J72" s="5">
        <f>IFERROR((H72-I72)/I72,0)</f>
        <v>0.45209645021377348</v>
      </c>
      <c r="K72" s="7">
        <f>HLOOKUP("ConfirmedTY.ConfirmedRevenueWebsiteExcludingFODepartureYear",Sheet2!$1:$2,2,FALSE)</f>
        <v>3299184.96</v>
      </c>
      <c r="L72" s="7">
        <f>HLOOKUP("ConfirmedLY.ConfirmedRevenueWebsiteExcludingFODepartureYear",Sheet2!$1:$2,2,FALSE)</f>
        <v>3469290.62</v>
      </c>
      <c r="M72" s="5">
        <f>IFERROR((K72-L72)/L72,0)</f>
        <v>-4.9031827722752191E-2</v>
      </c>
      <c r="N72" s="7">
        <f>HLOOKUP("DepartureYearTY.ConfirmedRevenueWebsiteExcludingFO",Sheet2!$1:$2,2,FALSE)</f>
        <v>3758112.79</v>
      </c>
      <c r="O72" s="7">
        <f>HLOOKUP("DepartureYearLY.ConfirmedRevenueWebsiteExcludingFO",Sheet2!$1:$2,2,FALSE)</f>
        <v>3864933.06</v>
      </c>
      <c r="P72" s="5">
        <f>IFERROR((N72-O72)/O72,0)</f>
        <v>-2.7638323443563085E-2</v>
      </c>
    </row>
    <row r="73" spans="1:16">
      <c r="A73" s="2" t="s">
        <v>48</v>
      </c>
      <c r="C73" s="7"/>
      <c r="D73" s="7"/>
      <c r="E73" s="5"/>
      <c r="F73" s="7"/>
      <c r="G73" s="5"/>
      <c r="H73" s="7"/>
      <c r="I73" s="7"/>
      <c r="J73" s="5"/>
      <c r="K73" s="7"/>
      <c r="L73" s="7"/>
      <c r="M73" s="5"/>
      <c r="N73" s="7"/>
      <c r="O73" s="7"/>
      <c r="P73" s="5"/>
    </row>
    <row r="74" spans="1:16">
      <c r="A74" s="1" t="s">
        <v>49</v>
      </c>
      <c r="C74" s="7">
        <f>HLOOKUP("ConfirmedTW.ConfirmedRevenuePreschoolSegmentExcludingFODepartureYear",Sheet2!$1:$2,2,FALSE)</f>
        <v>53713</v>
      </c>
      <c r="D74" s="7">
        <f>HLOOKUP("ConfirmedLW.ConfirmedRevenuePreschoolSegmentExcludingFODepartureYear",Sheet2!$1:$2,2,FALSE)</f>
        <v>87850</v>
      </c>
      <c r="E74" s="5">
        <f t="shared" ref="E74:E80" si="26">IFERROR((C74-D74)/D74,0)</f>
        <v>-0.38858281161070007</v>
      </c>
      <c r="F74" s="7">
        <f>HLOOKUP("ConfirmedTWLY.ConfirmedRevenuePreschoolSegmentExcludingFODepartureYear",Sheet2!$1:$2,2,FALSE)</f>
        <v>29682.68</v>
      </c>
      <c r="G74" s="5">
        <f t="shared" ref="G74:G80" si="27">IFERROR((C74-F74)/F74,0)</f>
        <v>0.80957379859231038</v>
      </c>
      <c r="H74" s="7">
        <f>HLOOKUP("ConfirmedTM.ConfirmedRevenuePreschoolSegmentExcludingFODepartureYear",Sheet2!$1:$2,2,FALSE)</f>
        <v>171902</v>
      </c>
      <c r="I74" s="7">
        <f>HLOOKUP("ConfirmedTMLY.ConfirmedRevenuePreschoolSegmentExcludingFODepartureYear",Sheet2!$1:$2,2,FALSE)</f>
        <v>110809.16</v>
      </c>
      <c r="J74" s="5">
        <f t="shared" ref="J74:J80" si="28">IFERROR((H74-I74)/I74,0)</f>
        <v>0.5513338427978336</v>
      </c>
      <c r="K74" s="7">
        <f>HLOOKUP("ConfirmedTY.ConfirmedRevenuePreschoolSegmentExcludingFODepartureYear",Sheet2!$1:$2,2,FALSE)</f>
        <v>3806275.06</v>
      </c>
      <c r="L74" s="7">
        <f>HLOOKUP("ConfirmedLY.ConfirmedRevenuePreschoolSegmentExcludingFODepartureYear",Sheet2!$1:$2,2,FALSE)</f>
        <v>3737348.39</v>
      </c>
      <c r="M74" s="5">
        <f t="shared" ref="M74:M80" si="29">IFERROR((K74-L74)/L74,0)</f>
        <v>1.8442666513088957E-2</v>
      </c>
      <c r="N74" s="7">
        <f>HLOOKUP("DepartureYearTY.ConfirmedRevenuePreschoolSegmentExcludingFO",Sheet2!$1:$2,2,FALSE)</f>
        <v>4475684.0199999996</v>
      </c>
      <c r="O74" s="7">
        <f>HLOOKUP("DepartureYearLY.ConfirmedRevenuePreschoolSegmentExcludingFO",Sheet2!$1:$2,2,FALSE)</f>
        <v>4382221.6500000004</v>
      </c>
      <c r="P74" s="5">
        <f t="shared" ref="P74:P80" si="30">IFERROR((N74-O74)/O74,0)</f>
        <v>2.1327622713926204E-2</v>
      </c>
    </row>
    <row r="75" spans="1:16">
      <c r="A75" s="1" t="s">
        <v>50</v>
      </c>
      <c r="C75" s="7">
        <f>HLOOKUP("ConfirmedTW.ConfirmedRevenueYoungFamilySegmentExcludingFODepartureYear",Sheet2!$1:$2,2,FALSE)</f>
        <v>65637</v>
      </c>
      <c r="D75" s="7">
        <f>HLOOKUP("ConfirmedLW.ConfirmedRevenueYoungFamilySegmentExcludingFODepartureYear",Sheet2!$1:$2,2,FALSE)</f>
        <v>59422</v>
      </c>
      <c r="E75" s="5">
        <f t="shared" si="26"/>
        <v>0.10459089226212513</v>
      </c>
      <c r="F75" s="7">
        <f>HLOOKUP("ConfirmedTWLY.ConfirmedRevenueYoungFamilySegmentExcludingFODepartureYear",Sheet2!$1:$2,2,FALSE)</f>
        <v>43429.5</v>
      </c>
      <c r="G75" s="5">
        <f t="shared" si="27"/>
        <v>0.51134597451041341</v>
      </c>
      <c r="H75" s="7">
        <f>HLOOKUP("ConfirmedTM.ConfirmedRevenueYoungFamilySegmentExcludingFODepartureYear",Sheet2!$1:$2,2,FALSE)</f>
        <v>159850</v>
      </c>
      <c r="I75" s="7">
        <f>HLOOKUP("ConfirmedTMLY.ConfirmedRevenueYoungFamilySegmentExcludingFODepartureYear",Sheet2!$1:$2,2,FALSE)</f>
        <v>67123.5</v>
      </c>
      <c r="J75" s="5">
        <f t="shared" si="28"/>
        <v>1.3814312424113759</v>
      </c>
      <c r="K75" s="7">
        <f>HLOOKUP("ConfirmedTY.ConfirmedRevenueYoungFamilySegmentExcludingFODepartureYear",Sheet2!$1:$2,2,FALSE)</f>
        <v>3423780.41</v>
      </c>
      <c r="L75" s="7">
        <f>HLOOKUP("ConfirmedLY.ConfirmedRevenueYoungFamilySegmentExcludingFODepartureYear",Sheet2!$1:$2,2,FALSE)</f>
        <v>3281944.26</v>
      </c>
      <c r="M75" s="5">
        <f t="shared" si="29"/>
        <v>4.3217111188841577E-2</v>
      </c>
      <c r="N75" s="7">
        <f>HLOOKUP("DepartureYearTY.ConfirmedRevenueYoungFamilySegmentExcludingFO",Sheet2!$1:$2,2,FALSE)</f>
        <v>4201963.83</v>
      </c>
      <c r="O75" s="7">
        <f>HLOOKUP("DepartureYearLY.ConfirmedRevenueYoungFamilySegmentExcludingFO",Sheet2!$1:$2,2,FALSE)</f>
        <v>3930483.82</v>
      </c>
      <c r="P75" s="5">
        <f t="shared" si="30"/>
        <v>6.9070379737627377E-2</v>
      </c>
    </row>
    <row r="76" spans="1:16">
      <c r="A76" s="1" t="s">
        <v>51</v>
      </c>
      <c r="C76" s="7">
        <f>HLOOKUP("ConfirmedTW.ConfirmedRevenueOlderFamilySegmentExcludingFODepartureYear",Sheet2!$1:$2,2,FALSE)</f>
        <v>37891</v>
      </c>
      <c r="D76" s="7">
        <f>HLOOKUP("ConfirmedLW.ConfirmedRevenueOlderFamilySegmentExcludingFODepartureYear",Sheet2!$1:$2,2,FALSE)</f>
        <v>63392</v>
      </c>
      <c r="E76" s="5">
        <f t="shared" si="26"/>
        <v>-0.40227473498233218</v>
      </c>
      <c r="F76" s="7">
        <f>HLOOKUP("ConfirmedTWLY.ConfirmedRevenueOlderFamilySegmentExcludingFODepartureYear",Sheet2!$1:$2,2,FALSE)</f>
        <v>41232</v>
      </c>
      <c r="G76" s="5">
        <f t="shared" si="27"/>
        <v>-8.1029297632906477E-2</v>
      </c>
      <c r="H76" s="7">
        <f>HLOOKUP("ConfirmedTM.ConfirmedRevenueOlderFamilySegmentExcludingFODepartureYear",Sheet2!$1:$2,2,FALSE)</f>
        <v>120553.8</v>
      </c>
      <c r="I76" s="7">
        <f>HLOOKUP("ConfirmedTMLY.ConfirmedRevenueOlderFamilySegmentExcludingFODepartureYear",Sheet2!$1:$2,2,FALSE)</f>
        <v>103539</v>
      </c>
      <c r="J76" s="5">
        <f t="shared" si="28"/>
        <v>0.16433228058992266</v>
      </c>
      <c r="K76" s="7">
        <f>HLOOKUP("ConfirmedTY.ConfirmedRevenueOlderFamilySegmentExcludingFODepartureYear",Sheet2!$1:$2,2,FALSE)</f>
        <v>4222514.97</v>
      </c>
      <c r="L76" s="7">
        <f>HLOOKUP("ConfirmedLY.ConfirmedRevenueOlderFamilySegmentExcludingFODepartureYear",Sheet2!$1:$2,2,FALSE)</f>
        <v>3492479.27</v>
      </c>
      <c r="M76" s="5">
        <f t="shared" si="29"/>
        <v>0.20903078975183143</v>
      </c>
      <c r="N76" s="7">
        <f>HLOOKUP("DepartureYearTY.ConfirmedRevenueOlderFamilySegmentExcludingFO",Sheet2!$1:$2,2,FALSE)</f>
        <v>4780200.04</v>
      </c>
      <c r="O76" s="7">
        <f>HLOOKUP("DepartureYearLY.ConfirmedRevenueOlderFamilySegmentExcludingFO",Sheet2!$1:$2,2,FALSE)</f>
        <v>4028509.8</v>
      </c>
      <c r="P76" s="5">
        <f t="shared" si="30"/>
        <v>0.18659263035676374</v>
      </c>
    </row>
    <row r="77" spans="1:16">
      <c r="A77" s="1" t="s">
        <v>52</v>
      </c>
      <c r="C77" s="7">
        <f>HLOOKUP("ConfirmedTW.ConfirmedRevenueYoungCoupleSegmentExcludingFODepartureYear",Sheet2!$1:$2,2,FALSE)</f>
        <v>23539</v>
      </c>
      <c r="D77" s="7">
        <f>HLOOKUP("ConfirmedLW.ConfirmedRevenueYoungCoupleSegmentExcludingFODepartureYear",Sheet2!$1:$2,2,FALSE)</f>
        <v>25482</v>
      </c>
      <c r="E77" s="5">
        <f t="shared" si="26"/>
        <v>-7.6249901891531274E-2</v>
      </c>
      <c r="F77" s="7">
        <f>HLOOKUP("ConfirmedTWLY.ConfirmedRevenueYoungCoupleSegmentExcludingFODepartureYear",Sheet2!$1:$2,2,FALSE)</f>
        <v>4934</v>
      </c>
      <c r="G77" s="5">
        <f t="shared" si="27"/>
        <v>3.7707742197000407</v>
      </c>
      <c r="H77" s="7">
        <f>HLOOKUP("ConfirmedTM.ConfirmedRevenueYoungCoupleSegmentExcludingFODepartureYear",Sheet2!$1:$2,2,FALSE)</f>
        <v>84790</v>
      </c>
      <c r="I77" s="7">
        <f>HLOOKUP("ConfirmedTMLY.ConfirmedRevenueYoungCoupleSegmentExcludingFODepartureYear",Sheet2!$1:$2,2,FALSE)</f>
        <v>32788</v>
      </c>
      <c r="J77" s="5">
        <f t="shared" si="28"/>
        <v>1.5860070757594242</v>
      </c>
      <c r="K77" s="7">
        <f>HLOOKUP("ConfirmedTY.ConfirmedRevenueYoungCoupleSegmentExcludingFODepartureYear",Sheet2!$1:$2,2,FALSE)</f>
        <v>803002.26</v>
      </c>
      <c r="L77" s="7">
        <f>HLOOKUP("ConfirmedLY.ConfirmedRevenueYoungCoupleSegmentExcludingFODepartureYear",Sheet2!$1:$2,2,FALSE)</f>
        <v>993402.55</v>
      </c>
      <c r="M77" s="5">
        <f t="shared" si="29"/>
        <v>-0.19166478886127283</v>
      </c>
      <c r="N77" s="7">
        <f>HLOOKUP("DepartureYearTY.ConfirmedRevenueYoungCoupleSegmentExcludingFO",Sheet2!$1:$2,2,FALSE)</f>
        <v>914556.74</v>
      </c>
      <c r="O77" s="7">
        <f>HLOOKUP("DepartureYearLY.ConfirmedRevenueYoungCoupleSegmentExcludingFO",Sheet2!$1:$2,2,FALSE)</f>
        <v>1105567.72</v>
      </c>
      <c r="P77" s="5">
        <f t="shared" si="30"/>
        <v>-0.17277184974250151</v>
      </c>
    </row>
    <row r="78" spans="1:16">
      <c r="A78" s="1" t="s">
        <v>53</v>
      </c>
      <c r="C78" s="7">
        <f>HLOOKUP("ConfirmedTW.ConfirmedRevenueOlderCoupleSegmentExcludingFODepartureYear",Sheet2!$1:$2,2,FALSE)</f>
        <v>182558.33</v>
      </c>
      <c r="D78" s="7">
        <f>HLOOKUP("ConfirmedLW.ConfirmedRevenueOlderCoupleSegmentExcludingFODepartureYear",Sheet2!$1:$2,2,FALSE)</f>
        <v>191167.6</v>
      </c>
      <c r="E78" s="5">
        <f t="shared" si="26"/>
        <v>-4.5035194248397838E-2</v>
      </c>
      <c r="F78" s="7">
        <f>HLOOKUP("ConfirmedTWLY.ConfirmedRevenueOlderCoupleSegmentExcludingFODepartureYear",Sheet2!$1:$2,2,FALSE)</f>
        <v>93583.11</v>
      </c>
      <c r="G78" s="5">
        <f t="shared" si="27"/>
        <v>0.95076152096248978</v>
      </c>
      <c r="H78" s="7">
        <f>HLOOKUP("ConfirmedTM.ConfirmedRevenueOlderCoupleSegmentExcludingFODepartureYear",Sheet2!$1:$2,2,FALSE)</f>
        <v>465154.89</v>
      </c>
      <c r="I78" s="7">
        <f>HLOOKUP("ConfirmedTMLY.ConfirmedRevenueOlderCoupleSegmentExcludingFODepartureYear",Sheet2!$1:$2,2,FALSE)</f>
        <v>285245.07</v>
      </c>
      <c r="J78" s="5">
        <f t="shared" si="28"/>
        <v>0.63072017335829855</v>
      </c>
      <c r="K78" s="7">
        <f>HLOOKUP("ConfirmedTY.ConfirmedRevenueOlderCoupleSegmentExcludingFODepartureYear",Sheet2!$1:$2,2,FALSE)</f>
        <v>7212145.5199999996</v>
      </c>
      <c r="L78" s="7">
        <f>HLOOKUP("ConfirmedLY.ConfirmedRevenueOlderCoupleSegmentExcludingFODepartureYear",Sheet2!$1:$2,2,FALSE)</f>
        <v>7016565.6700000102</v>
      </c>
      <c r="M78" s="5">
        <f t="shared" si="29"/>
        <v>2.7874014040260398E-2</v>
      </c>
      <c r="N78" s="7">
        <f>HLOOKUP("DepartureYearTY.ConfirmedRevenueOlderCoupleSegmentExcludingFO",Sheet2!$1:$2,2,FALSE)</f>
        <v>9574068.8100000098</v>
      </c>
      <c r="O78" s="7">
        <f>HLOOKUP("DepartureYearLY.ConfirmedRevenueOlderCoupleSegmentExcludingFO",Sheet2!$1:$2,2,FALSE)</f>
        <v>8926704.4900000095</v>
      </c>
      <c r="P78" s="5">
        <f t="shared" si="30"/>
        <v>7.2519967556358478E-2</v>
      </c>
    </row>
    <row r="79" spans="1:16">
      <c r="A79" s="1" t="s">
        <v>54</v>
      </c>
      <c r="C79" s="7">
        <f>HLOOKUP("ConfirmedTW.ConfirmedRevenueAdultGroupSegmentExcludingFODepartureYear",Sheet2!$1:$2,2,FALSE)</f>
        <v>38030</v>
      </c>
      <c r="D79" s="7">
        <f>HLOOKUP("ConfirmedLW.ConfirmedRevenueAdultGroupSegmentExcludingFODepartureYear",Sheet2!$1:$2,2,FALSE)</f>
        <v>65753.91</v>
      </c>
      <c r="E79" s="5">
        <f t="shared" si="26"/>
        <v>-0.42163135241691335</v>
      </c>
      <c r="F79" s="7">
        <f>HLOOKUP("ConfirmedTWLY.ConfirmedRevenueAdultGroupSegmentExcludingFODepartureYear",Sheet2!$1:$2,2,FALSE)</f>
        <v>24117</v>
      </c>
      <c r="G79" s="5">
        <f t="shared" si="27"/>
        <v>0.57689596550151345</v>
      </c>
      <c r="H79" s="7">
        <f>HLOOKUP("ConfirmedTM.ConfirmedRevenueAdultGroupSegmentExcludingFODepartureYear",Sheet2!$1:$2,2,FALSE)</f>
        <v>145953.91</v>
      </c>
      <c r="I79" s="7">
        <f>HLOOKUP("ConfirmedTMLY.ConfirmedRevenueAdultGroupSegmentExcludingFODepartureYear",Sheet2!$1:$2,2,FALSE)</f>
        <v>85169</v>
      </c>
      <c r="J79" s="5">
        <f t="shared" si="28"/>
        <v>0.71369758949852646</v>
      </c>
      <c r="K79" s="7">
        <f>HLOOKUP("ConfirmedTY.ConfirmedRevenueAdultGroupSegmentExcludingFODepartureYear",Sheet2!$1:$2,2,FALSE)</f>
        <v>5014502.43</v>
      </c>
      <c r="L79" s="7">
        <f>HLOOKUP("ConfirmedLY.ConfirmedRevenueAdultGroupSegmentExcludingFODepartureYear",Sheet2!$1:$2,2,FALSE)</f>
        <v>4373515.18</v>
      </c>
      <c r="M79" s="5">
        <f t="shared" si="29"/>
        <v>0.14656111242764683</v>
      </c>
      <c r="N79" s="7">
        <f>HLOOKUP("DepartureYearTY.ConfirmedRevenueAdultGroupSegmentExcludingFO",Sheet2!$1:$2,2,FALSE)</f>
        <v>6234631.7599999998</v>
      </c>
      <c r="O79" s="7">
        <f>HLOOKUP("DepartureYearLY.ConfirmedRevenueAdultGroupSegmentExcludingFO",Sheet2!$1:$2,2,FALSE)</f>
        <v>5483665.8099999996</v>
      </c>
      <c r="P79" s="5">
        <f t="shared" si="30"/>
        <v>0.13694597300778988</v>
      </c>
    </row>
    <row r="80" spans="1:16">
      <c r="A80" s="1" t="s">
        <v>55</v>
      </c>
      <c r="C80" s="7">
        <f>HLOOKUP("ConfirmedTW.ConfirmedRevenueOtherSegmentExcludingFODepartureYear",Sheet2!$1:$2,2,FALSE)</f>
        <v>1645</v>
      </c>
      <c r="D80" s="7">
        <f>HLOOKUP("ConfirmedLW.ConfirmedRevenueOtherSegmentExcludingFODepartureYear",Sheet2!$1:$2,2,FALSE)</f>
        <v>500</v>
      </c>
      <c r="E80" s="5">
        <f t="shared" si="26"/>
        <v>2.29</v>
      </c>
      <c r="F80" s="7">
        <f>HLOOKUP("ConfirmedTWLY.ConfirmedRevenueOtherSegmentExcludingFODepartureYear",Sheet2!$1:$2,2,FALSE)</f>
        <v>0</v>
      </c>
      <c r="G80" s="5">
        <f t="shared" si="27"/>
        <v>0</v>
      </c>
      <c r="H80" s="7">
        <f>HLOOKUP("ConfirmedTM.ConfirmedRevenueOtherSegmentExcludingFODepartureYear",Sheet2!$1:$2,2,FALSE)</f>
        <v>2145</v>
      </c>
      <c r="I80" s="7">
        <f>HLOOKUP("ConfirmedTMLY.ConfirmedRevenueOtherSegmentExcludingFODepartureYear",Sheet2!$1:$2,2,FALSE)</f>
        <v>12176.56</v>
      </c>
      <c r="J80" s="5">
        <f t="shared" si="28"/>
        <v>-0.82384187323841873</v>
      </c>
      <c r="K80" s="7">
        <f>HLOOKUP("ConfirmedTY.ConfirmedRevenueOtherSegmentExcludingFODepartureYear",Sheet2!$1:$2,2,FALSE)</f>
        <v>102876.13</v>
      </c>
      <c r="L80" s="7">
        <f>HLOOKUP("ConfirmedLY.ConfirmedRevenueOtherSegmentExcludingFODepartureYear",Sheet2!$1:$2,2,FALSE)</f>
        <v>93024.36</v>
      </c>
      <c r="M80" s="5">
        <f t="shared" si="29"/>
        <v>0.10590527040444034</v>
      </c>
      <c r="N80" s="7">
        <f>HLOOKUP("DepartureYearTY.ConfirmedRevenueOtherSegmentExcludingFO",Sheet2!$1:$2,2,FALSE)</f>
        <v>129752.43</v>
      </c>
      <c r="O80" s="7">
        <f>HLOOKUP("DepartureYearLY.ConfirmedRevenueOtherSegmentExcludingFO",Sheet2!$1:$2,2,FALSE)</f>
        <v>101676.82</v>
      </c>
      <c r="P80" s="5">
        <f t="shared" si="30"/>
        <v>0.27612596460038763</v>
      </c>
    </row>
    <row r="81" spans="1:16">
      <c r="A81" s="11" t="s">
        <v>56</v>
      </c>
      <c r="C81" s="7"/>
      <c r="D81" s="7"/>
      <c r="E81" s="5"/>
      <c r="F81" s="7"/>
      <c r="G81" s="5"/>
      <c r="H81" s="7"/>
      <c r="I81" s="7"/>
      <c r="J81" s="5"/>
      <c r="K81" s="7"/>
      <c r="L81" s="7"/>
      <c r="M81" s="5"/>
      <c r="N81" s="7"/>
      <c r="O81" s="7"/>
      <c r="P81" s="5"/>
    </row>
    <row r="82" spans="1:16">
      <c r="A82" s="1" t="s">
        <v>57</v>
      </c>
      <c r="C82" s="7">
        <f>HLOOKUP("ConfirmedTW.ConfirmedRevenueGreeceExcludingFODepartureYear",Sheet2!$1:$2,2,FALSE)</f>
        <v>249066.95</v>
      </c>
      <c r="D82" s="7">
        <f>HLOOKUP("ConfirmedLW.ConfirmedRevenueGreeceExcludingFODepartureYear",Sheet2!$1:$2,2,FALSE)</f>
        <v>291311.92</v>
      </c>
      <c r="E82" s="5">
        <f t="shared" ref="E82:E88" si="31">IFERROR((C82-D82)/D82,0)</f>
        <v>-0.14501627671123096</v>
      </c>
      <c r="F82" s="7">
        <f>HLOOKUP("ConfirmedTWLY.ConfirmedRevenueGreeceExcludingFODepartureYear",Sheet2!$1:$2,2,FALSE)</f>
        <v>125028.29</v>
      </c>
      <c r="G82" s="5">
        <f t="shared" ref="G82:G88" si="32">IFERROR((C82-F82)/F82,0)</f>
        <v>0.99208475137906804</v>
      </c>
      <c r="H82" s="7">
        <f>HLOOKUP("ConfirmedTM.ConfirmedRevenueGreeceExcludingFODepartureYear",Sheet2!$1:$2,2,FALSE)</f>
        <v>697717.87</v>
      </c>
      <c r="I82" s="7">
        <f>HLOOKUP("ConfirmedTMLY.ConfirmedRevenueGreeceExcludingFODepartureYear",Sheet2!$1:$2,2,FALSE)</f>
        <v>373973.89</v>
      </c>
      <c r="J82" s="5">
        <f t="shared" ref="J82:J88" si="33">IFERROR((H82-I82)/I82,0)</f>
        <v>0.86568605097002882</v>
      </c>
      <c r="K82" s="7">
        <f>HLOOKUP("ConfirmedTY.ConfirmedRevenueGreeceExcludingFODepartureYear",Sheet2!$1:$2,2,FALSE)</f>
        <v>12479248.859999999</v>
      </c>
      <c r="L82" s="7">
        <f>HLOOKUP("ConfirmedLY.ConfirmedRevenueGreeceExcludingFODepartureYear",Sheet2!$1:$2,2,FALSE)</f>
        <v>11129989.6</v>
      </c>
      <c r="M82" s="5">
        <f t="shared" ref="M82:M88" si="34">IFERROR((K82-L82)/L82,0)</f>
        <v>0.12122736035620373</v>
      </c>
      <c r="N82" s="7">
        <f>HLOOKUP("DepartureYearTY.ConfirmedRevenueGreeceExcludingFO",Sheet2!$1:$2,2,FALSE)</f>
        <v>15668602.77</v>
      </c>
      <c r="O82" s="7">
        <f>HLOOKUP("DepartureYearLY.ConfirmedRevenueGreeceExcludingFO",Sheet2!$1:$2,2,FALSE)</f>
        <v>14641813.66</v>
      </c>
      <c r="P82" s="5">
        <f t="shared" ref="P82:P88" si="35">IFERROR((N82-O82)/O82,0)</f>
        <v>7.0127180542195161E-2</v>
      </c>
    </row>
    <row r="83" spans="1:16">
      <c r="A83" s="1" t="s">
        <v>58</v>
      </c>
      <c r="C83" s="7">
        <f>HLOOKUP("ConfirmedTW.ConfirmedRevenueMallorcaExcludingFODepartureYear",Sheet2!$1:$2,2,FALSE)</f>
        <v>17524</v>
      </c>
      <c r="D83" s="7">
        <f>HLOOKUP("ConfirmedLW.ConfirmedRevenueMallorcaExcludingFODepartureYear",Sheet2!$1:$2,2,FALSE)</f>
        <v>33205.68</v>
      </c>
      <c r="E83" s="5">
        <f t="shared" si="31"/>
        <v>-0.47225896292441533</v>
      </c>
      <c r="F83" s="7">
        <f>HLOOKUP("ConfirmedTWLY.ConfirmedRevenueMallorcaExcludingFODepartureYear",Sheet2!$1:$2,2,FALSE)</f>
        <v>30147</v>
      </c>
      <c r="G83" s="5">
        <f t="shared" si="32"/>
        <v>-0.41871496334626995</v>
      </c>
      <c r="H83" s="7">
        <f>HLOOKUP("ConfirmedTM.ConfirmedRevenueMallorcaExcludingFODepartureYear",Sheet2!$1:$2,2,FALSE)</f>
        <v>80102.679999999993</v>
      </c>
      <c r="I83" s="7">
        <f>HLOOKUP("ConfirmedTMLY.ConfirmedRevenueMallorcaExcludingFODepartureYear",Sheet2!$1:$2,2,FALSE)</f>
        <v>66573.279999999999</v>
      </c>
      <c r="J83" s="5">
        <f t="shared" si="33"/>
        <v>0.20322567853048543</v>
      </c>
      <c r="K83" s="7">
        <f>HLOOKUP("ConfirmedTY.ConfirmedRevenueMallorcaExcludingFODepartureYear",Sheet2!$1:$2,2,FALSE)</f>
        <v>2034150.34</v>
      </c>
      <c r="L83" s="7">
        <f>HLOOKUP("ConfirmedLY.ConfirmedRevenueMallorcaExcludingFODepartureYear",Sheet2!$1:$2,2,FALSE)</f>
        <v>2194061.7599999998</v>
      </c>
      <c r="M83" s="5">
        <f t="shared" si="34"/>
        <v>-7.288373687347785E-2</v>
      </c>
      <c r="N83" s="7">
        <f>HLOOKUP("DepartureYearTY.ConfirmedRevenueMallorcaExcludingFO",Sheet2!$1:$2,2,FALSE)</f>
        <v>2377042.21</v>
      </c>
      <c r="O83" s="7">
        <f>HLOOKUP("DepartureYearLY.ConfirmedRevenueMallorcaExcludingFO",Sheet2!$1:$2,2,FALSE)</f>
        <v>2534572.15</v>
      </c>
      <c r="P83" s="5">
        <f t="shared" si="35"/>
        <v>-6.2152478081951602E-2</v>
      </c>
    </row>
    <row r="84" spans="1:16">
      <c r="A84" s="1" t="s">
        <v>59</v>
      </c>
      <c r="C84" s="7">
        <f>HLOOKUP("ConfirmedTW.ConfirmedRevenueItalyExcludingFODepartureYear",Sheet2!$1:$2,2,FALSE)</f>
        <v>33934.379999999997</v>
      </c>
      <c r="D84" s="7">
        <f>HLOOKUP("ConfirmedLW.ConfirmedRevenueItalyExcludingFODepartureYear",Sheet2!$1:$2,2,FALSE)</f>
        <v>17353.990000000002</v>
      </c>
      <c r="E84" s="5">
        <f t="shared" si="31"/>
        <v>0.9554223553200154</v>
      </c>
      <c r="F84" s="7">
        <f>HLOOKUP("ConfirmedTWLY.ConfirmedRevenueItalyExcludingFODepartureYear",Sheet2!$1:$2,2,FALSE)</f>
        <v>10645</v>
      </c>
      <c r="G84" s="5">
        <f t="shared" si="32"/>
        <v>2.1878233912635037</v>
      </c>
      <c r="H84" s="7">
        <f>HLOOKUP("ConfirmedTM.ConfirmedRevenueItalyExcludingFODepartureYear",Sheet2!$1:$2,2,FALSE)</f>
        <v>58056.37</v>
      </c>
      <c r="I84" s="7">
        <f>HLOOKUP("ConfirmedTMLY.ConfirmedRevenueItalyExcludingFODepartureYear",Sheet2!$1:$2,2,FALSE)</f>
        <v>21101</v>
      </c>
      <c r="J84" s="5">
        <f t="shared" si="33"/>
        <v>1.7513563338230418</v>
      </c>
      <c r="K84" s="7">
        <f>HLOOKUP("ConfirmedTY.ConfirmedRevenueItalyExcludingFODepartureYear",Sheet2!$1:$2,2,FALSE)</f>
        <v>1178148.6499999999</v>
      </c>
      <c r="L84" s="7">
        <f>HLOOKUP("ConfirmedLY.ConfirmedRevenueItalyExcludingFODepartureYear",Sheet2!$1:$2,2,FALSE)</f>
        <v>1081336.28</v>
      </c>
      <c r="M84" s="5">
        <f t="shared" si="34"/>
        <v>8.9530307815067364E-2</v>
      </c>
      <c r="N84" s="7">
        <f>HLOOKUP("DepartureYearTY.ConfirmedRevenueItalyExcludingFO",Sheet2!$1:$2,2,FALSE)</f>
        <v>1373856.01</v>
      </c>
      <c r="O84" s="7">
        <f>HLOOKUP("DepartureYearLY.ConfirmedRevenueItalyExcludingFO",Sheet2!$1:$2,2,FALSE)</f>
        <v>1197790.96</v>
      </c>
      <c r="P84" s="5">
        <f t="shared" si="35"/>
        <v>0.14699146669131652</v>
      </c>
    </row>
    <row r="85" spans="1:16">
      <c r="A85" s="1" t="s">
        <v>60</v>
      </c>
      <c r="C85" s="7">
        <f>HLOOKUP("ConfirmedTW.ConfirmedRevenueCorsicaExcludingFODepartureYear",Sheet2!$1:$2,2,FALSE)</f>
        <v>54616</v>
      </c>
      <c r="D85" s="7">
        <f>HLOOKUP("ConfirmedLW.ConfirmedRevenueCorsicaExcludingFODepartureYear",Sheet2!$1:$2,2,FALSE)</f>
        <v>57798</v>
      </c>
      <c r="E85" s="5">
        <f t="shared" si="31"/>
        <v>-5.5053808090245335E-2</v>
      </c>
      <c r="F85" s="7">
        <f>HLOOKUP("ConfirmedTWLY.ConfirmedRevenueCorsicaExcludingFODepartureYear",Sheet2!$1:$2,2,FALSE)</f>
        <v>24702</v>
      </c>
      <c r="G85" s="5">
        <f t="shared" si="32"/>
        <v>1.2109950611286535</v>
      </c>
      <c r="H85" s="7">
        <f>HLOOKUP("ConfirmedTM.ConfirmedRevenueCorsicaExcludingFODepartureYear",Sheet2!$1:$2,2,FALSE)</f>
        <v>130746.76</v>
      </c>
      <c r="I85" s="7">
        <f>HLOOKUP("ConfirmedTMLY.ConfirmedRevenueCorsicaExcludingFODepartureYear",Sheet2!$1:$2,2,FALSE)</f>
        <v>108470.56</v>
      </c>
      <c r="J85" s="5">
        <f t="shared" si="33"/>
        <v>0.20536632243808825</v>
      </c>
      <c r="K85" s="7">
        <f>HLOOKUP("ConfirmedTY.ConfirmedRevenueCorsicaExcludingFODepartureYear",Sheet2!$1:$2,2,FALSE)</f>
        <v>3768564.15</v>
      </c>
      <c r="L85" s="7">
        <f>HLOOKUP("ConfirmedLY.ConfirmedRevenueCorsicaExcludingFODepartureYear",Sheet2!$1:$2,2,FALSE)</f>
        <v>4466885.58</v>
      </c>
      <c r="M85" s="5">
        <f t="shared" si="34"/>
        <v>-0.15633295670850833</v>
      </c>
      <c r="N85" s="7">
        <f>HLOOKUP("DepartureYearTY.ConfirmedRevenueCorsicaExcludingFO",Sheet2!$1:$2,2,FALSE)</f>
        <v>4435937.6399999997</v>
      </c>
      <c r="O85" s="7">
        <f>HLOOKUP("DepartureYearLY.ConfirmedRevenueCorsicaExcludingFO",Sheet2!$1:$2,2,FALSE)</f>
        <v>4961636.75</v>
      </c>
      <c r="P85" s="5">
        <f t="shared" si="35"/>
        <v>-0.10595276044744717</v>
      </c>
    </row>
    <row r="86" spans="1:16">
      <c r="A86" s="1" t="s">
        <v>61</v>
      </c>
      <c r="C86" s="7">
        <f>HLOOKUP("ConfirmedTW.ConfirmedRevenueTurkeyExcludingFODepartureYear",Sheet2!$1:$2,2,FALSE)</f>
        <v>45072</v>
      </c>
      <c r="D86" s="7">
        <f>HLOOKUP("ConfirmedLW.ConfirmedRevenueTurkeyExcludingFODepartureYear",Sheet2!$1:$2,2,FALSE)</f>
        <v>67211.92</v>
      </c>
      <c r="E86" s="5">
        <f t="shared" si="31"/>
        <v>-0.32940466512487665</v>
      </c>
      <c r="F86" s="7">
        <f>HLOOKUP("ConfirmedTWLY.ConfirmedRevenueTurkeyExcludingFODepartureYear",Sheet2!$1:$2,2,FALSE)</f>
        <v>42056</v>
      </c>
      <c r="G86" s="5">
        <f t="shared" si="32"/>
        <v>7.1713905269164921E-2</v>
      </c>
      <c r="H86" s="7">
        <f>HLOOKUP("ConfirmedTM.ConfirmedRevenueTurkeyExcludingFODepartureYear",Sheet2!$1:$2,2,FALSE)</f>
        <v>145834.92000000001</v>
      </c>
      <c r="I86" s="7">
        <f>HLOOKUP("ConfirmedTMLY.ConfirmedRevenueTurkeyExcludingFODepartureYear",Sheet2!$1:$2,2,FALSE)</f>
        <v>109448.56</v>
      </c>
      <c r="J86" s="5">
        <f t="shared" si="33"/>
        <v>0.33245170151165093</v>
      </c>
      <c r="K86" s="7">
        <f>HLOOKUP("ConfirmedTY.ConfirmedRevenueTurkeyExcludingFODepartureYear",Sheet2!$1:$2,2,FALSE)</f>
        <v>3254630.18</v>
      </c>
      <c r="L86" s="7">
        <f>HLOOKUP("ConfirmedLY.ConfirmedRevenueTurkeyExcludingFODepartureYear",Sheet2!$1:$2,2,FALSE)</f>
        <v>2952570.14</v>
      </c>
      <c r="M86" s="5">
        <f t="shared" si="34"/>
        <v>0.10230410309575237</v>
      </c>
      <c r="N86" s="7">
        <f>HLOOKUP("DepartureYearTY.ConfirmedRevenueTurkeyExcludingFO",Sheet2!$1:$2,2,FALSE)</f>
        <v>4366584.5999999996</v>
      </c>
      <c r="O86" s="7">
        <f>HLOOKUP("DepartureYearLY.ConfirmedRevenueTurkeyExcludingFO",Sheet2!$1:$2,2,FALSE)</f>
        <v>3199808.53</v>
      </c>
      <c r="P86" s="5">
        <f t="shared" si="35"/>
        <v>0.36463933984199981</v>
      </c>
    </row>
    <row r="87" spans="1:16">
      <c r="A87" s="1" t="s">
        <v>62</v>
      </c>
      <c r="C87" s="7">
        <f>HLOOKUP("ConfirmedTW.ConfirmedRevenueFranceExcludingAquitaineExcludingFODepartureYear",Sheet2!$1:$2,2,FALSE)</f>
        <v>2800</v>
      </c>
      <c r="D87" s="7">
        <f>HLOOKUP("ConfirmedLW.ConfirmedRevenueFranceExcludingAquitaineExcludingFODepartureYear",Sheet2!$1:$2,2,FALSE)</f>
        <v>18856</v>
      </c>
      <c r="E87" s="5">
        <f t="shared" si="31"/>
        <v>-0.85150615188799317</v>
      </c>
      <c r="F87" s="7">
        <f>HLOOKUP("ConfirmedTWLY.ConfirmedRevenueFranceExcludingAquitaineExcludingFODepartureYear",Sheet2!$1:$2,2,FALSE)</f>
        <v>4400</v>
      </c>
      <c r="G87" s="5">
        <f t="shared" si="32"/>
        <v>-0.36363636363636365</v>
      </c>
      <c r="H87" s="7">
        <f>HLOOKUP("ConfirmedTM.ConfirmedRevenueFranceExcludingAquitaineExcludingFODepartureYear",Sheet2!$1:$2,2,FALSE)</f>
        <v>28461</v>
      </c>
      <c r="I87" s="7">
        <f>HLOOKUP("ConfirmedTMLY.ConfirmedRevenueFranceExcludingAquitaineExcludingFODepartureYear",Sheet2!$1:$2,2,FALSE)</f>
        <v>17283</v>
      </c>
      <c r="J87" s="5">
        <f t="shared" si="33"/>
        <v>0.6467627148064572</v>
      </c>
      <c r="K87" s="7">
        <f>HLOOKUP("ConfirmedTY.ConfirmedRevenueFranceExcludingAquitaineExcludingFODepartureYear",Sheet2!$1:$2,2,FALSE)</f>
        <v>935604.92</v>
      </c>
      <c r="L87" s="7">
        <f>HLOOKUP("ConfirmedLY.ConfirmedRevenueFranceExcludingAquitaineExcludingFODepartureYear",Sheet2!$1:$2,2,FALSE)</f>
        <v>1130257.57</v>
      </c>
      <c r="M87" s="5">
        <f t="shared" si="34"/>
        <v>-0.17221972687163689</v>
      </c>
      <c r="N87" s="7">
        <f>HLOOKUP("DepartureYearTY.ConfirmedRevenueFranceExcludingAquitaineExcludingFO",Sheet2!$1:$2,2,FALSE)</f>
        <v>1154084.72</v>
      </c>
      <c r="O87" s="7">
        <f>HLOOKUP("DepartureYearLY.ConfirmedRevenueFranceExcludingAquitaineExcludingFO",Sheet2!$1:$2,2,FALSE)</f>
        <v>1390029.31</v>
      </c>
      <c r="P87" s="5">
        <f t="shared" si="35"/>
        <v>-0.16974073014330904</v>
      </c>
    </row>
    <row r="88" spans="1:16">
      <c r="A88" s="1" t="s">
        <v>63</v>
      </c>
      <c r="C88" s="7">
        <f>HLOOKUP("ConfirmedTW.ConfirmedRevenueFranceExcludingFODepartureYear",Sheet2!$1:$2,2,FALSE)</f>
        <v>2800</v>
      </c>
      <c r="D88" s="7">
        <f>HLOOKUP("ConfirmedLW.ConfirmedRevenueFranceExcludingFODepartureYear",Sheet2!$1:$2,2,FALSE)</f>
        <v>50536</v>
      </c>
      <c r="E88" s="5">
        <f t="shared" si="31"/>
        <v>-0.94459395282570846</v>
      </c>
      <c r="F88" s="7">
        <f>HLOOKUP("ConfirmedTWLY.ConfirmedRevenueFranceExcludingFODepartureYear",Sheet2!$1:$2,2,FALSE)</f>
        <v>4400</v>
      </c>
      <c r="G88" s="5">
        <f t="shared" si="32"/>
        <v>-0.36363636363636365</v>
      </c>
      <c r="H88" s="7">
        <f>HLOOKUP("ConfirmedTM.ConfirmedRevenueFranceExcludingFODepartureYear",Sheet2!$1:$2,2,FALSE)</f>
        <v>61741</v>
      </c>
      <c r="I88" s="7">
        <f>HLOOKUP("ConfirmedTMLY.ConfirmedRevenueFranceExcludingFODepartureYear",Sheet2!$1:$2,2,FALSE)</f>
        <v>17283</v>
      </c>
      <c r="J88" s="5">
        <f t="shared" si="33"/>
        <v>2.5723543366313719</v>
      </c>
      <c r="K88" s="7">
        <f>HLOOKUP("ConfirmedTY.ConfirmedRevenueFranceExcludingFODepartureYear",Sheet2!$1:$2,2,FALSE)</f>
        <v>1913699.6</v>
      </c>
      <c r="L88" s="7">
        <f>HLOOKUP("ConfirmedLY.ConfirmedRevenueFranceExcludingFODepartureYear",Sheet2!$1:$2,2,FALSE)</f>
        <v>1130257.57</v>
      </c>
      <c r="M88" s="5">
        <f t="shared" si="34"/>
        <v>0.69315353490620724</v>
      </c>
      <c r="N88" s="7">
        <f>HLOOKUP("DepartureYearTY.ConfirmedRevenueFranceExcludingFO",Sheet2!$1:$2,2,FALSE)</f>
        <v>2088834.4</v>
      </c>
      <c r="O88" s="7">
        <f>HLOOKUP("DepartureYearLY.ConfirmedRevenueFranceExcludingFO",Sheet2!$1:$2,2,FALSE)</f>
        <v>1390029.31</v>
      </c>
      <c r="P88" s="5">
        <f t="shared" si="35"/>
        <v>0.50272687415490525</v>
      </c>
    </row>
    <row r="89" spans="1:16">
      <c r="A89" s="11" t="s">
        <v>64</v>
      </c>
      <c r="C89" s="7"/>
      <c r="D89" s="7"/>
      <c r="E89" s="5"/>
      <c r="F89" s="7"/>
      <c r="G89" s="5"/>
      <c r="H89" s="7"/>
      <c r="I89" s="7"/>
      <c r="J89" s="5"/>
      <c r="K89" s="7"/>
      <c r="L89" s="7"/>
      <c r="M89" s="5"/>
      <c r="N89" s="7"/>
      <c r="O89" s="7"/>
      <c r="P89" s="5"/>
    </row>
    <row r="90" spans="1:16">
      <c r="A90" s="1" t="s">
        <v>65</v>
      </c>
      <c r="C90" s="7">
        <f>HLOOKUP("ConfirmedTW.ConfirmedRevenueMayDepartureExcludingFODepartureYear",Sheet2!$1:$2,2,FALSE)</f>
        <v>0</v>
      </c>
      <c r="D90" s="7">
        <f>HLOOKUP("ConfirmedLW.ConfirmedRevenueMayDepartureExcludingFODepartureYear",Sheet2!$1:$2,2,FALSE)</f>
        <v>0</v>
      </c>
      <c r="E90" s="5">
        <f t="shared" ref="E90:E95" si="36">IFERROR((C90-D90)/D90,0)</f>
        <v>0</v>
      </c>
      <c r="F90" s="7">
        <f>HLOOKUP("ConfirmedTWLY.ConfirmedRevenueMayDepartureExcludingFODepartureYear",Sheet2!$1:$2,2,FALSE)</f>
        <v>0</v>
      </c>
      <c r="G90" s="5">
        <f t="shared" ref="G90:G95" si="37">IFERROR((C90-F90)/F90,0)</f>
        <v>0</v>
      </c>
      <c r="H90" s="7">
        <f>HLOOKUP("ConfirmedTM.ConfirmedRevenueMayDepartureExcludingFODepartureYear",Sheet2!$1:$2,2,FALSE)</f>
        <v>0</v>
      </c>
      <c r="I90" s="7">
        <f>HLOOKUP("ConfirmedTMLY.ConfirmedRevenueMayDepartureExcludingFODepartureYear",Sheet2!$1:$2,2,FALSE)</f>
        <v>0</v>
      </c>
      <c r="J90" s="5">
        <f t="shared" ref="J90:J95" si="38">IFERROR((H90-I90)/I90,0)</f>
        <v>0</v>
      </c>
      <c r="K90" s="7">
        <f>HLOOKUP("ConfirmedTY.ConfirmedRevenueMayDepartureExcludingFODepartureYear",Sheet2!$1:$2,2,FALSE)</f>
        <v>1784673.04</v>
      </c>
      <c r="L90" s="7">
        <f>HLOOKUP("ConfirmedLY.ConfirmedRevenueMayDepartureExcludingFODepartureYear",Sheet2!$1:$2,2,FALSE)</f>
        <v>2076050.61</v>
      </c>
      <c r="M90" s="5">
        <f t="shared" ref="M90:M95" si="39">IFERROR((K90-L90)/L90,0)</f>
        <v>-0.14035186261668256</v>
      </c>
      <c r="N90" s="7">
        <f>HLOOKUP("DepartureYearTY.ConfirmedRevenueMayDepartureExcludingFO",Sheet2!$1:$2,2,FALSE)</f>
        <v>2534725.09</v>
      </c>
      <c r="O90" s="7">
        <f>HLOOKUP("DepartureYearLY.ConfirmedRevenueMayDepartureExcludingFO",Sheet2!$1:$2,2,FALSE)</f>
        <v>2575953.2200000002</v>
      </c>
      <c r="P90" s="5">
        <f t="shared" ref="P90:P95" si="40">IFERROR((N90-O90)/O90,0)</f>
        <v>-1.6004999500728648E-2</v>
      </c>
    </row>
    <row r="91" spans="1:16">
      <c r="A91" s="1" t="s">
        <v>66</v>
      </c>
      <c r="C91" s="7">
        <f>HLOOKUP("ConfirmedTW.ConfirmedRevenueJuneDepartureExcludingFODepartureYear",Sheet2!$1:$2,2,FALSE)</f>
        <v>0</v>
      </c>
      <c r="D91" s="7">
        <f>HLOOKUP("ConfirmedLW.ConfirmedRevenueJuneDepartureExcludingFODepartureYear",Sheet2!$1:$2,2,FALSE)</f>
        <v>0</v>
      </c>
      <c r="E91" s="5">
        <f t="shared" si="36"/>
        <v>0</v>
      </c>
      <c r="F91" s="7">
        <f>HLOOKUP("ConfirmedTWLY.ConfirmedRevenueJuneDepartureExcludingFODepartureYear",Sheet2!$1:$2,2,FALSE)</f>
        <v>0</v>
      </c>
      <c r="G91" s="5">
        <f t="shared" si="37"/>
        <v>0</v>
      </c>
      <c r="H91" s="7">
        <f>HLOOKUP("ConfirmedTM.ConfirmedRevenueJuneDepartureExcludingFODepartureYear",Sheet2!$1:$2,2,FALSE)</f>
        <v>0</v>
      </c>
      <c r="I91" s="7">
        <f>HLOOKUP("ConfirmedTMLY.ConfirmedRevenueJuneDepartureExcludingFODepartureYear",Sheet2!$1:$2,2,FALSE)</f>
        <v>0</v>
      </c>
      <c r="J91" s="5">
        <f t="shared" si="38"/>
        <v>0</v>
      </c>
      <c r="K91" s="7">
        <f>HLOOKUP("ConfirmedTY.ConfirmedRevenueJuneDepartureExcludingFODepartureYear",Sheet2!$1:$2,2,FALSE)</f>
        <v>4234792.8600000003</v>
      </c>
      <c r="L91" s="7">
        <f>HLOOKUP("ConfirmedLY.ConfirmedRevenueJuneDepartureExcludingFODepartureYear",Sheet2!$1:$2,2,FALSE)</f>
        <v>3744459.48</v>
      </c>
      <c r="M91" s="5">
        <f t="shared" si="39"/>
        <v>0.13094904154230569</v>
      </c>
      <c r="N91" s="7">
        <f>HLOOKUP("DepartureYearTY.ConfirmedRevenueJuneDepartureExcludingFO",Sheet2!$1:$2,2,FALSE)</f>
        <v>5859711.4199999999</v>
      </c>
      <c r="O91" s="7">
        <f>HLOOKUP("DepartureYearLY.ConfirmedRevenueJuneDepartureExcludingFO",Sheet2!$1:$2,2,FALSE)</f>
        <v>5061896.3500000099</v>
      </c>
      <c r="P91" s="5">
        <f t="shared" si="40"/>
        <v>0.15761189381129634</v>
      </c>
    </row>
    <row r="92" spans="1:16">
      <c r="A92" s="1" t="s">
        <v>67</v>
      </c>
      <c r="C92" s="7">
        <f>HLOOKUP("ConfirmedTW.ConfirmedRevenueJulyDepartureExcludingFODepartureYear",Sheet2!$1:$2,2,FALSE)</f>
        <v>0</v>
      </c>
      <c r="D92" s="7">
        <f>HLOOKUP("ConfirmedLW.ConfirmedRevenueJulyDepartureExcludingFODepartureYear",Sheet2!$1:$2,2,FALSE)</f>
        <v>0</v>
      </c>
      <c r="E92" s="5">
        <f t="shared" si="36"/>
        <v>0</v>
      </c>
      <c r="F92" s="7">
        <f>HLOOKUP("ConfirmedTWLY.ConfirmedRevenueJulyDepartureExcludingFODepartureYear",Sheet2!$1:$2,2,FALSE)</f>
        <v>0</v>
      </c>
      <c r="G92" s="5">
        <f t="shared" si="37"/>
        <v>0</v>
      </c>
      <c r="H92" s="7">
        <f>HLOOKUP("ConfirmedTM.ConfirmedRevenueJulyDepartureExcludingFODepartureYear",Sheet2!$1:$2,2,FALSE)</f>
        <v>0</v>
      </c>
      <c r="I92" s="7">
        <f>HLOOKUP("ConfirmedTMLY.ConfirmedRevenueJulyDepartureExcludingFODepartureYear",Sheet2!$1:$2,2,FALSE)</f>
        <v>0</v>
      </c>
      <c r="J92" s="5">
        <f t="shared" si="38"/>
        <v>0</v>
      </c>
      <c r="K92" s="7">
        <f>HLOOKUP("ConfirmedTY.ConfirmedRevenueJulyDepartureExcludingFODepartureYear",Sheet2!$1:$2,2,FALSE)</f>
        <v>6312930.1699999999</v>
      </c>
      <c r="L92" s="7">
        <f>HLOOKUP("ConfirmedLY.ConfirmedRevenueJulyDepartureExcludingFODepartureYear",Sheet2!$1:$2,2,FALSE)</f>
        <v>6342916.5199999996</v>
      </c>
      <c r="M92" s="5">
        <f t="shared" si="39"/>
        <v>-4.7275334470269249E-3</v>
      </c>
      <c r="N92" s="7">
        <f>HLOOKUP("DepartureYearTY.ConfirmedRevenueJulyDepartureExcludingFO",Sheet2!$1:$2,2,FALSE)</f>
        <v>7473891.1799999997</v>
      </c>
      <c r="O92" s="7">
        <f>HLOOKUP("DepartureYearLY.ConfirmedRevenueJulyDepartureExcludingFO",Sheet2!$1:$2,2,FALSE)</f>
        <v>7772329.0800000001</v>
      </c>
      <c r="P92" s="5">
        <f t="shared" si="40"/>
        <v>-3.8397486381263772E-2</v>
      </c>
    </row>
    <row r="93" spans="1:16">
      <c r="A93" s="1" t="s">
        <v>68</v>
      </c>
      <c r="C93" s="7">
        <f>HLOOKUP("ConfirmedTW.ConfirmedRevenueAugustDepartureExcludingFODepartureYear",Sheet2!$1:$2,2,FALSE)</f>
        <v>182473</v>
      </c>
      <c r="D93" s="7">
        <f>HLOOKUP("ConfirmedLW.ConfirmedRevenueAugustDepartureExcludingFODepartureYear",Sheet2!$1:$2,2,FALSE)</f>
        <v>248336.97</v>
      </c>
      <c r="E93" s="5">
        <f t="shared" si="36"/>
        <v>-0.26522015630616741</v>
      </c>
      <c r="F93" s="7">
        <f>HLOOKUP("ConfirmedTWLY.ConfirmedRevenueAugustDepartureExcludingFODepartureYear",Sheet2!$1:$2,2,FALSE)</f>
        <v>130020.61</v>
      </c>
      <c r="G93" s="5">
        <f t="shared" si="37"/>
        <v>0.40341596613029274</v>
      </c>
      <c r="H93" s="7">
        <f>HLOOKUP("ConfirmedTM.ConfirmedRevenueAugustDepartureExcludingFODepartureYear",Sheet2!$1:$2,2,FALSE)</f>
        <v>545616.97</v>
      </c>
      <c r="I93" s="7">
        <f>HLOOKUP("ConfirmedTMLY.ConfirmedRevenueAugustDepartureExcludingFODepartureYear",Sheet2!$1:$2,2,FALSE)</f>
        <v>356542.97</v>
      </c>
      <c r="J93" s="5">
        <f t="shared" si="38"/>
        <v>0.53029793295321459</v>
      </c>
      <c r="K93" s="7">
        <f>HLOOKUP("ConfirmedTY.ConfirmedRevenueAugustDepartureExcludingFODepartureYear",Sheet2!$1:$2,2,FALSE)</f>
        <v>7560004.7400000002</v>
      </c>
      <c r="L93" s="7">
        <f>HLOOKUP("ConfirmedLY.ConfirmedRevenueAugustDepartureExcludingFODepartureYear",Sheet2!$1:$2,2,FALSE)</f>
        <v>6340839.1100000003</v>
      </c>
      <c r="M93" s="5">
        <f t="shared" si="39"/>
        <v>0.19227197045218827</v>
      </c>
      <c r="N93" s="7">
        <f>HLOOKUP("DepartureYearTY.ConfirmedRevenueAugustDepartureExcludingFO",Sheet2!$1:$2,2,FALSE)</f>
        <v>8661513.4800000004</v>
      </c>
      <c r="O93" s="7">
        <f>HLOOKUP("DepartureYearLY.ConfirmedRevenueAugustDepartureExcludingFO",Sheet2!$1:$2,2,FALSE)</f>
        <v>7249111.4299999997</v>
      </c>
      <c r="P93" s="5">
        <f t="shared" si="40"/>
        <v>0.19483795547063357</v>
      </c>
    </row>
    <row r="94" spans="1:16">
      <c r="A94" s="1" t="s">
        <v>69</v>
      </c>
      <c r="C94" s="7">
        <f>HLOOKUP("ConfirmedTW.ConfirmedRevenueSeptemberDepartureExcludingFODepartureYear",Sheet2!$1:$2,2,FALSE)</f>
        <v>173001.34</v>
      </c>
      <c r="D94" s="7">
        <f>HLOOKUP("ConfirmedLW.ConfirmedRevenueSeptemberDepartureExcludingFODepartureYear",Sheet2!$1:$2,2,FALSE)</f>
        <v>182375.58</v>
      </c>
      <c r="E94" s="5">
        <f t="shared" si="36"/>
        <v>-5.1400741261521915E-2</v>
      </c>
      <c r="F94" s="7">
        <f>HLOOKUP("ConfirmedTWLY.ConfirmedRevenueSeptemberDepartureExcludingFODepartureYear",Sheet2!$1:$2,2,FALSE)</f>
        <v>68973.679999999993</v>
      </c>
      <c r="G94" s="5">
        <f t="shared" si="37"/>
        <v>1.50822255677818</v>
      </c>
      <c r="H94" s="7">
        <f>HLOOKUP("ConfirmedTM.ConfirmedRevenueSeptemberDepartureExcludingFODepartureYear",Sheet2!$1:$2,2,FALSE)</f>
        <v>469380.68</v>
      </c>
      <c r="I94" s="7">
        <f>HLOOKUP("ConfirmedTMLY.ConfirmedRevenueSeptemberDepartureExcludingFODepartureYear",Sheet2!$1:$2,2,FALSE)</f>
        <v>251607.14</v>
      </c>
      <c r="J94" s="5">
        <f t="shared" si="38"/>
        <v>0.86553004815364132</v>
      </c>
      <c r="K94" s="7">
        <f>HLOOKUP("ConfirmedTY.ConfirmedRevenueSeptemberDepartureExcludingFODepartureYear",Sheet2!$1:$2,2,FALSE)</f>
        <v>3933402.95</v>
      </c>
      <c r="L94" s="7">
        <f>HLOOKUP("ConfirmedLY.ConfirmedRevenueSeptemberDepartureExcludingFODepartureYear",Sheet2!$1:$2,2,FALSE)</f>
        <v>3762510.61</v>
      </c>
      <c r="M94" s="5">
        <f t="shared" si="39"/>
        <v>4.5419762949186829E-2</v>
      </c>
      <c r="N94" s="7">
        <f>HLOOKUP("DepartureYearTY.ConfirmedRevenueSeptemberDepartureExcludingFO",Sheet2!$1:$2,2,FALSE)</f>
        <v>4963610.0999999996</v>
      </c>
      <c r="O94" s="7">
        <f>HLOOKUP("DepartureYearLY.ConfirmedRevenueSeptemberDepartureExcludingFO",Sheet2!$1:$2,2,FALSE)</f>
        <v>4531756.54</v>
      </c>
      <c r="P94" s="5">
        <f t="shared" si="40"/>
        <v>9.5294960395202424E-2</v>
      </c>
    </row>
    <row r="95" spans="1:16">
      <c r="A95" s="1" t="s">
        <v>70</v>
      </c>
      <c r="C95" s="7">
        <f>HLOOKUP("ConfirmedTW.ConfirmedRevenueOctoberDepartureExcludingFODepartureYear",Sheet2!$1:$2,2,FALSE)</f>
        <v>47538.99</v>
      </c>
      <c r="D95" s="7">
        <f>HLOOKUP("ConfirmedLW.ConfirmedRevenueOctoberDepartureExcludingFODepartureYear",Sheet2!$1:$2,2,FALSE)</f>
        <v>62854.96</v>
      </c>
      <c r="E95" s="5">
        <f t="shared" si="36"/>
        <v>-0.24367162114175239</v>
      </c>
      <c r="F95" s="7">
        <f>HLOOKUP("ConfirmedTWLY.ConfirmedRevenueOctoberDepartureExcludingFODepartureYear",Sheet2!$1:$2,2,FALSE)</f>
        <v>37984</v>
      </c>
      <c r="G95" s="5">
        <f t="shared" si="37"/>
        <v>0.2515530223251895</v>
      </c>
      <c r="H95" s="7">
        <f>HLOOKUP("ConfirmedTM.ConfirmedRevenueOctoberDepartureExcludingFODepartureYear",Sheet2!$1:$2,2,FALSE)</f>
        <v>135351.95000000001</v>
      </c>
      <c r="I95" s="7">
        <f>HLOOKUP("ConfirmedTMLY.ConfirmedRevenueOctoberDepartureExcludingFODepartureYear",Sheet2!$1:$2,2,FALSE)</f>
        <v>88700.18</v>
      </c>
      <c r="J95" s="5">
        <f t="shared" si="38"/>
        <v>0.5259489890550394</v>
      </c>
      <c r="K95" s="7">
        <f>HLOOKUP("ConfirmedTY.ConfirmedRevenueOctoberDepartureExcludingFODepartureYear",Sheet2!$1:$2,2,FALSE)</f>
        <v>624545.32999999996</v>
      </c>
      <c r="L95" s="7">
        <f>HLOOKUP("ConfirmedLY.ConfirmedRevenueOctoberDepartureExcludingFODepartureYear",Sheet2!$1:$2,2,FALSE)</f>
        <v>581289.86</v>
      </c>
      <c r="M95" s="5">
        <f t="shared" si="39"/>
        <v>7.4412909937909416E-2</v>
      </c>
      <c r="N95" s="7">
        <f>HLOOKUP("DepartureYearTY.ConfirmedRevenueOctoberDepartureExcludingFO",Sheet2!$1:$2,2,FALSE)</f>
        <v>666757.82999999996</v>
      </c>
      <c r="O95" s="7">
        <f>HLOOKUP("DepartureYearLY.ConfirmedRevenueOctoberDepartureExcludingFO",Sheet2!$1:$2,2,FALSE)</f>
        <v>606107.93000000005</v>
      </c>
      <c r="P95" s="5">
        <f t="shared" si="40"/>
        <v>0.10006452151186984</v>
      </c>
    </row>
  </sheetData>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ZB2"/>
  <sheetViews>
    <sheetView tabSelected="1" topLeftCell="AYN1" zoomScale="70" zoomScaleNormal="70" workbookViewId="0">
      <selection activeCell="AZC1" sqref="AZC1:AZC1048576"/>
    </sheetView>
  </sheetViews>
  <sheetFormatPr defaultColWidth="8.85546875" defaultRowHeight="15"/>
  <cols>
    <col min="1" max="1" width="11.140625" customWidth="1"/>
    <col min="2" max="2" width="22" customWidth="1"/>
    <col min="3" max="3" width="8.42578125" customWidth="1"/>
    <col min="4" max="4" width="7.140625" customWidth="1"/>
    <col min="5" max="5" width="15.7109375" customWidth="1"/>
    <col min="6" max="6" width="15.42578125" customWidth="1"/>
    <col min="7" max="7" width="18.140625" customWidth="1"/>
    <col min="8" max="8" width="17.85546875" customWidth="1"/>
    <col min="9" max="9" width="15.28515625" customWidth="1"/>
    <col min="10" max="10" width="9.28515625" customWidth="1"/>
    <col min="11" max="11" width="15.85546875" customWidth="1"/>
    <col min="12" max="12" width="14.42578125" customWidth="1"/>
    <col min="13" max="14" width="22" customWidth="1"/>
    <col min="15" max="15" width="14.42578125" customWidth="1"/>
    <col min="16" max="16" width="11.140625" customWidth="1"/>
    <col min="17" max="17" width="18.42578125" customWidth="1"/>
    <col min="18" max="19" width="23.42578125" customWidth="1"/>
    <col min="20" max="20" width="9.140625" customWidth="1"/>
    <col min="21" max="22" width="29.140625" customWidth="1"/>
    <col min="23" max="23" width="28.7109375" customWidth="1"/>
    <col min="24" max="25" width="22.140625" customWidth="1"/>
    <col min="26" max="27" width="22.42578125" customWidth="1"/>
    <col min="28" max="28" width="58.28515625" customWidth="1"/>
    <col min="29" max="29" width="58.140625" customWidth="1"/>
    <col min="30" max="30" width="48.7109375" customWidth="1"/>
    <col min="31" max="31" width="70.7109375" customWidth="1"/>
    <col min="32" max="32" width="70.42578125" customWidth="1"/>
    <col min="33" max="33" width="78.140625" customWidth="1"/>
    <col min="34" max="34" width="73.85546875" customWidth="1"/>
    <col min="35" max="35" width="77.85546875" customWidth="1"/>
    <col min="36" max="36" width="73.42578125" customWidth="1"/>
    <col min="37" max="37" width="65.7109375" customWidth="1"/>
    <col min="38" max="38" width="62.140625" customWidth="1"/>
    <col min="39" max="39" width="75.85546875" customWidth="1"/>
    <col min="40" max="40" width="75.7109375" customWidth="1"/>
    <col min="41" max="41" width="62.42578125" customWidth="1"/>
    <col min="42" max="42" width="68.7109375" customWidth="1"/>
    <col min="43" max="43" width="84.85546875" customWidth="1"/>
    <col min="44" max="44" width="87.7109375" customWidth="1"/>
    <col min="45" max="45" width="86.28515625" customWidth="1"/>
    <col min="46" max="46" width="88.42578125" customWidth="1"/>
    <col min="47" max="47" width="87.140625" customWidth="1"/>
    <col min="48" max="48" width="86" customWidth="1"/>
    <col min="49" max="49" width="80.28515625" customWidth="1"/>
    <col min="50" max="50" width="73.42578125" customWidth="1"/>
    <col min="51" max="51" width="74.28515625" customWidth="1"/>
    <col min="52" max="52" width="69.7109375" customWidth="1"/>
    <col min="53" max="53" width="73.42578125" customWidth="1"/>
    <col min="54" max="54" width="72.42578125" customWidth="1"/>
    <col min="55" max="55" width="90" customWidth="1"/>
    <col min="56" max="56" width="73" customWidth="1"/>
    <col min="57" max="57" width="79.7109375" customWidth="1"/>
    <col min="58" max="58" width="80.42578125" customWidth="1"/>
    <col min="59" max="59" width="79.42578125" customWidth="1"/>
    <col min="60" max="60" width="82.85546875" customWidth="1"/>
    <col min="61" max="61" width="86.42578125" customWidth="1"/>
    <col min="62" max="62" width="83.85546875" customWidth="1"/>
    <col min="63" max="63" width="75.7109375" customWidth="1"/>
    <col min="64" max="64" width="75.42578125" customWidth="1"/>
    <col min="65" max="65" width="62.140625" customWidth="1"/>
    <col min="66" max="66" width="68.42578125" customWidth="1"/>
    <col min="67" max="67" width="84.42578125" customWidth="1"/>
    <col min="68" max="68" width="87.28515625" customWidth="1"/>
    <col min="69" max="69" width="86" customWidth="1"/>
    <col min="70" max="70" width="88.28515625" customWidth="1"/>
    <col min="71" max="71" width="86.85546875" customWidth="1"/>
    <col min="72" max="72" width="85.85546875" customWidth="1"/>
    <col min="73" max="73" width="80.140625" customWidth="1"/>
    <col min="74" max="74" width="73.140625" customWidth="1"/>
    <col min="75" max="75" width="74" customWidth="1"/>
    <col min="76" max="76" width="69.42578125" customWidth="1"/>
    <col min="77" max="77" width="73.140625" customWidth="1"/>
    <col min="78" max="78" width="72.42578125" customWidth="1"/>
    <col min="79" max="79" width="91" customWidth="1"/>
    <col min="80" max="80" width="72.85546875" customWidth="1"/>
    <col min="81" max="81" width="79.42578125" customWidth="1"/>
    <col min="82" max="82" width="80.28515625" customWidth="1"/>
    <col min="83" max="83" width="79.28515625" customWidth="1"/>
    <col min="84" max="84" width="82.42578125" customWidth="1"/>
    <col min="85" max="85" width="86.28515625" customWidth="1"/>
    <col min="86" max="86" width="83.42578125" customWidth="1"/>
    <col min="87" max="87" width="58.28515625" customWidth="1"/>
    <col min="88" max="88" width="58.140625" customWidth="1"/>
    <col min="89" max="89" width="48.7109375" customWidth="1"/>
    <col min="90" max="90" width="70.7109375" customWidth="1"/>
    <col min="91" max="91" width="70.42578125" customWidth="1"/>
    <col min="92" max="92" width="78.140625" customWidth="1"/>
    <col min="93" max="93" width="73.85546875" customWidth="1"/>
    <col min="94" max="94" width="77.85546875" customWidth="1"/>
    <col min="95" max="95" width="73.42578125" customWidth="1"/>
    <col min="96" max="96" width="65.7109375" customWidth="1"/>
    <col min="97" max="97" width="62.140625" customWidth="1"/>
    <col min="98" max="98" width="75.85546875" customWidth="1"/>
    <col min="99" max="99" width="75.7109375" customWidth="1"/>
    <col min="100" max="100" width="62.42578125" customWidth="1"/>
    <col min="101" max="101" width="68.7109375" customWidth="1"/>
    <col min="102" max="102" width="84.85546875" customWidth="1"/>
    <col min="103" max="103" width="87.7109375" customWidth="1"/>
    <col min="104" max="104" width="86.28515625" customWidth="1"/>
    <col min="105" max="105" width="88.42578125" customWidth="1"/>
    <col min="106" max="106" width="87.140625" customWidth="1"/>
    <col min="107" max="107" width="86" customWidth="1"/>
    <col min="108" max="108" width="80.28515625" customWidth="1"/>
    <col min="109" max="109" width="73.42578125" customWidth="1"/>
    <col min="110" max="110" width="74.28515625" customWidth="1"/>
    <col min="111" max="111" width="69.7109375" customWidth="1"/>
    <col min="112" max="112" width="73.42578125" customWidth="1"/>
    <col min="113" max="113" width="72.42578125" customWidth="1"/>
    <col min="114" max="114" width="90" customWidth="1"/>
    <col min="115" max="115" width="73" customWidth="1"/>
    <col min="116" max="116" width="79.7109375" customWidth="1"/>
    <col min="117" max="117" width="80.42578125" customWidth="1"/>
    <col min="118" max="118" width="79.42578125" customWidth="1"/>
    <col min="119" max="119" width="82.85546875" customWidth="1"/>
    <col min="120" max="120" width="86.42578125" customWidth="1"/>
    <col min="121" max="121" width="83.85546875" customWidth="1"/>
    <col min="122" max="122" width="75.7109375" customWidth="1"/>
    <col min="123" max="123" width="75.42578125" customWidth="1"/>
    <col min="124" max="124" width="62.140625" customWidth="1"/>
    <col min="125" max="125" width="68.42578125" customWidth="1"/>
    <col min="126" max="126" width="84.42578125" customWidth="1"/>
    <col min="127" max="127" width="87.28515625" customWidth="1"/>
    <col min="128" max="128" width="86" customWidth="1"/>
    <col min="129" max="129" width="88.28515625" customWidth="1"/>
    <col min="130" max="130" width="86.85546875" customWidth="1"/>
    <col min="131" max="131" width="85.85546875" customWidth="1"/>
    <col min="132" max="132" width="80.140625" customWidth="1"/>
    <col min="133" max="133" width="73.140625" customWidth="1"/>
    <col min="134" max="134" width="74" customWidth="1"/>
    <col min="135" max="135" width="69.42578125" customWidth="1"/>
    <col min="136" max="136" width="73.140625" customWidth="1"/>
    <col min="137" max="137" width="72.42578125" customWidth="1"/>
    <col min="138" max="138" width="91" customWidth="1"/>
    <col min="139" max="139" width="72.85546875" customWidth="1"/>
    <col min="140" max="140" width="79.42578125" customWidth="1"/>
    <col min="141" max="141" width="80.28515625" customWidth="1"/>
    <col min="142" max="142" width="79.28515625" customWidth="1"/>
    <col min="143" max="143" width="82.42578125" customWidth="1"/>
    <col min="144" max="144" width="86.28515625" customWidth="1"/>
    <col min="145" max="145" width="83.42578125" customWidth="1"/>
    <col min="146" max="146" width="45.28515625" customWidth="1"/>
    <col min="147" max="147" width="45" customWidth="1"/>
    <col min="148" max="148" width="35.7109375" customWidth="1"/>
    <col min="149" max="149" width="57.85546875" customWidth="1"/>
    <col min="150" max="150" width="57.7109375" customWidth="1"/>
    <col min="151" max="151" width="65" customWidth="1"/>
    <col min="152" max="152" width="60.7109375" customWidth="1"/>
    <col min="153" max="153" width="64.85546875" customWidth="1"/>
    <col min="154" max="154" width="60.42578125" customWidth="1"/>
    <col min="155" max="155" width="52.85546875" customWidth="1"/>
    <col min="156" max="156" width="49.140625" customWidth="1"/>
    <col min="157" max="157" width="63" customWidth="1"/>
    <col min="158" max="158" width="62.85546875" customWidth="1"/>
    <col min="159" max="159" width="49.28515625" customWidth="1"/>
    <col min="160" max="160" width="55.7109375" customWidth="1"/>
    <col min="161" max="161" width="71.7109375" customWidth="1"/>
    <col min="162" max="162" width="74.42578125" customWidth="1"/>
    <col min="163" max="163" width="73.42578125" customWidth="1"/>
    <col min="164" max="164" width="75.42578125" customWidth="1"/>
    <col min="165" max="165" width="74.28515625" customWidth="1"/>
    <col min="166" max="166" width="73.140625" customWidth="1"/>
    <col min="167" max="167" width="67.42578125" customWidth="1"/>
    <col min="168" max="168" width="60.28515625" customWidth="1"/>
    <col min="169" max="169" width="61.140625" customWidth="1"/>
    <col min="170" max="170" width="56.7109375" customWidth="1"/>
    <col min="171" max="171" width="60.28515625" customWidth="1"/>
    <col min="172" max="172" width="59.42578125" customWidth="1"/>
    <col min="173" max="173" width="78.85546875" customWidth="1"/>
    <col min="174" max="174" width="60" customWidth="1"/>
    <col min="175" max="175" width="66.7109375" customWidth="1"/>
    <col min="176" max="176" width="67.7109375" customWidth="1"/>
    <col min="177" max="177" width="66.42578125" customWidth="1"/>
    <col min="178" max="178" width="69.7109375" customWidth="1"/>
    <col min="179" max="179" width="73.42578125" customWidth="1"/>
    <col min="180" max="180" width="70.7109375" customWidth="1"/>
    <col min="181" max="181" width="62.85546875" customWidth="1"/>
    <col min="182" max="182" width="62.42578125" customWidth="1"/>
    <col min="183" max="183" width="49.140625" customWidth="1"/>
    <col min="184" max="184" width="55.42578125" customWidth="1"/>
    <col min="185" max="185" width="71.42578125" customWidth="1"/>
    <col min="186" max="186" width="74.42578125" customWidth="1"/>
    <col min="187" max="187" width="73.140625" customWidth="1"/>
    <col min="188" max="188" width="75.28515625" customWidth="1"/>
    <col min="189" max="189" width="74" customWidth="1"/>
    <col min="190" max="190" width="73" customWidth="1"/>
    <col min="191" max="191" width="67.28515625" customWidth="1"/>
    <col min="192" max="192" width="60.140625" customWidth="1"/>
    <col min="193" max="193" width="61" customWidth="1"/>
    <col min="194" max="194" width="56.42578125" customWidth="1"/>
    <col min="195" max="195" width="60.140625" customWidth="1"/>
    <col min="196" max="196" width="59.28515625" customWidth="1"/>
    <col min="197" max="197" width="78.7109375" customWidth="1"/>
    <col min="198" max="198" width="59.7109375" customWidth="1"/>
    <col min="199" max="199" width="66.42578125" customWidth="1"/>
    <col min="200" max="200" width="67.42578125" customWidth="1"/>
    <col min="201" max="201" width="66.28515625" customWidth="1"/>
    <col min="202" max="202" width="69.42578125" customWidth="1"/>
    <col min="203" max="203" width="73.42578125" customWidth="1"/>
    <col min="204" max="204" width="70.42578125" customWidth="1"/>
    <col min="205" max="205" width="70.28515625" customWidth="1"/>
    <col min="206" max="206" width="70.140625" customWidth="1"/>
    <col min="207" max="207" width="79.28515625" customWidth="1"/>
    <col min="208" max="208" width="80.140625" customWidth="1"/>
    <col min="209" max="209" width="79.140625" customWidth="1"/>
    <col min="210" max="210" width="82.140625" customWidth="1"/>
    <col min="211" max="211" width="86" customWidth="1"/>
    <col min="212" max="212" width="83.42578125" customWidth="1"/>
    <col min="213" max="213" width="79.140625" customWidth="1"/>
    <col min="214" max="214" width="80" customWidth="1"/>
    <col min="215" max="215" width="78.85546875" customWidth="1"/>
    <col min="216" max="216" width="82" customWidth="1"/>
    <col min="217" max="217" width="85.85546875" customWidth="1"/>
    <col min="218" max="218" width="83.140625" customWidth="1"/>
    <col min="219" max="219" width="45.28515625" customWidth="1"/>
    <col min="220" max="220" width="45" customWidth="1"/>
    <col min="221" max="221" width="35.7109375" customWidth="1"/>
    <col min="222" max="222" width="57.85546875" customWidth="1"/>
    <col min="223" max="223" width="57.7109375" customWidth="1"/>
    <col min="224" max="224" width="65" customWidth="1"/>
    <col min="225" max="225" width="60.7109375" customWidth="1"/>
    <col min="226" max="226" width="64.85546875" customWidth="1"/>
    <col min="227" max="227" width="60.42578125" customWidth="1"/>
    <col min="228" max="228" width="52.85546875" customWidth="1"/>
    <col min="229" max="229" width="49.140625" customWidth="1"/>
    <col min="230" max="230" width="63" customWidth="1"/>
    <col min="231" max="231" width="62.85546875" customWidth="1"/>
    <col min="232" max="232" width="49.28515625" customWidth="1"/>
    <col min="233" max="233" width="55.7109375" customWidth="1"/>
    <col min="234" max="234" width="71.7109375" customWidth="1"/>
    <col min="235" max="235" width="74.42578125" customWidth="1"/>
    <col min="236" max="236" width="73.42578125" customWidth="1"/>
    <col min="237" max="237" width="75.42578125" customWidth="1"/>
    <col min="238" max="238" width="74.28515625" customWidth="1"/>
    <col min="239" max="239" width="73.140625" customWidth="1"/>
    <col min="240" max="240" width="67.42578125" customWidth="1"/>
    <col min="241" max="241" width="60.28515625" customWidth="1"/>
    <col min="242" max="242" width="61.140625" customWidth="1"/>
    <col min="243" max="243" width="56.7109375" customWidth="1"/>
    <col min="244" max="244" width="60.28515625" customWidth="1"/>
    <col min="245" max="245" width="59.42578125" customWidth="1"/>
    <col min="246" max="246" width="78.85546875" customWidth="1"/>
    <col min="247" max="247" width="60" customWidth="1"/>
    <col min="248" max="248" width="66.7109375" customWidth="1"/>
    <col min="249" max="249" width="67.7109375" customWidth="1"/>
    <col min="250" max="250" width="66.42578125" customWidth="1"/>
    <col min="251" max="251" width="69.7109375" customWidth="1"/>
    <col min="252" max="252" width="73.42578125" customWidth="1"/>
    <col min="253" max="253" width="70.7109375" customWidth="1"/>
    <col min="254" max="254" width="62.85546875" customWidth="1"/>
    <col min="255" max="255" width="62.42578125" customWidth="1"/>
    <col min="256" max="256" width="49.140625" customWidth="1"/>
    <col min="257" max="257" width="55.42578125" customWidth="1"/>
    <col min="258" max="258" width="71.42578125" customWidth="1"/>
    <col min="259" max="259" width="74.42578125" customWidth="1"/>
    <col min="260" max="260" width="73.140625" customWidth="1"/>
    <col min="261" max="261" width="75.28515625" customWidth="1"/>
    <col min="262" max="262" width="74" customWidth="1"/>
    <col min="263" max="263" width="73" customWidth="1"/>
    <col min="264" max="264" width="67.28515625" customWidth="1"/>
    <col min="265" max="265" width="60.140625" customWidth="1"/>
    <col min="266" max="266" width="61" customWidth="1"/>
    <col min="267" max="267" width="56.42578125" customWidth="1"/>
    <col min="268" max="268" width="60.140625" customWidth="1"/>
    <col min="269" max="269" width="59.28515625" customWidth="1"/>
    <col min="270" max="270" width="78.7109375" customWidth="1"/>
    <col min="271" max="271" width="59.7109375" customWidth="1"/>
    <col min="272" max="272" width="66.42578125" customWidth="1"/>
    <col min="273" max="273" width="67.42578125" customWidth="1"/>
    <col min="274" max="274" width="66.28515625" customWidth="1"/>
    <col min="275" max="275" width="69.42578125" customWidth="1"/>
    <col min="276" max="276" width="73.42578125" customWidth="1"/>
    <col min="277" max="277" width="70.42578125" customWidth="1"/>
    <col min="278" max="278" width="70.28515625" customWidth="1"/>
    <col min="279" max="279" width="70.140625" customWidth="1"/>
    <col min="280" max="280" width="79.28515625" customWidth="1"/>
    <col min="281" max="281" width="80.140625" customWidth="1"/>
    <col min="282" max="282" width="79.140625" customWidth="1"/>
    <col min="283" max="283" width="82.140625" customWidth="1"/>
    <col min="284" max="284" width="86" customWidth="1"/>
    <col min="285" max="285" width="83.42578125" customWidth="1"/>
    <col min="286" max="286" width="79.140625" customWidth="1"/>
    <col min="287" max="287" width="80" customWidth="1"/>
    <col min="288" max="288" width="78.85546875" customWidth="1"/>
    <col min="289" max="289" width="82" customWidth="1"/>
    <col min="290" max="290" width="85.85546875" customWidth="1"/>
    <col min="291" max="291" width="83.140625" customWidth="1"/>
    <col min="292" max="292" width="48.140625" customWidth="1"/>
    <col min="293" max="293" width="47.85546875" customWidth="1"/>
    <col min="294" max="294" width="38.42578125" customWidth="1"/>
    <col min="295" max="295" width="60.42578125" customWidth="1"/>
    <col min="296" max="296" width="60.28515625" customWidth="1"/>
    <col min="297" max="297" width="67.85546875" customWidth="1"/>
    <col min="298" max="298" width="63.42578125" customWidth="1"/>
    <col min="299" max="299" width="67.7109375" customWidth="1"/>
    <col min="300" max="300" width="63.42578125" customWidth="1"/>
    <col min="301" max="301" width="55.42578125" customWidth="1"/>
    <col min="302" max="302" width="52" customWidth="1"/>
    <col min="303" max="303" width="65.7109375" customWidth="1"/>
    <col min="304" max="304" width="65.42578125" customWidth="1"/>
    <col min="305" max="305" width="52.140625" customWidth="1"/>
    <col min="306" max="306" width="58.42578125" customWidth="1"/>
    <col min="307" max="307" width="74.42578125" customWidth="1"/>
    <col min="308" max="308" width="77.42578125" customWidth="1"/>
    <col min="309" max="309" width="76" customWidth="1"/>
    <col min="310" max="310" width="78.28515625" customWidth="1"/>
    <col min="311" max="311" width="76.85546875" customWidth="1"/>
    <col min="312" max="312" width="75.85546875" customWidth="1"/>
    <col min="313" max="313" width="70.140625" customWidth="1"/>
    <col min="314" max="314" width="63.140625" customWidth="1"/>
    <col min="315" max="315" width="64" customWidth="1"/>
    <col min="316" max="316" width="59.42578125" customWidth="1"/>
    <col min="317" max="317" width="63.140625" customWidth="1"/>
    <col min="318" max="318" width="62.42578125" customWidth="1"/>
    <col min="319" max="319" width="81.42578125" customWidth="1"/>
    <col min="320" max="320" width="62.85546875" customWidth="1"/>
    <col min="321" max="321" width="69.42578125" customWidth="1"/>
    <col min="322" max="322" width="70.28515625" customWidth="1"/>
    <col min="323" max="323" width="69.28515625" customWidth="1"/>
    <col min="324" max="324" width="72.42578125" customWidth="1"/>
    <col min="325" max="325" width="76.28515625" customWidth="1"/>
    <col min="326" max="326" width="73.42578125" customWidth="1"/>
    <col min="327" max="327" width="65.42578125" customWidth="1"/>
    <col min="328" max="328" width="65.28515625" customWidth="1"/>
    <col min="329" max="329" width="52" customWidth="1"/>
    <col min="330" max="330" width="58.28515625" customWidth="1"/>
    <col min="331" max="331" width="74.42578125" customWidth="1"/>
    <col min="332" max="332" width="77.140625" customWidth="1"/>
    <col min="333" max="333" width="75.85546875" customWidth="1"/>
    <col min="334" max="334" width="78.140625" customWidth="1"/>
    <col min="335" max="335" width="76.7109375" customWidth="1"/>
    <col min="336" max="336" width="75.7109375" customWidth="1"/>
    <col min="337" max="337" width="70" customWidth="1"/>
    <col min="338" max="338" width="63" customWidth="1"/>
    <col min="339" max="339" width="63.85546875" customWidth="1"/>
    <col min="340" max="340" width="59.28515625" customWidth="1"/>
    <col min="341" max="341" width="63" customWidth="1"/>
    <col min="342" max="342" width="62.140625" customWidth="1"/>
    <col min="343" max="343" width="81.42578125" customWidth="1"/>
    <col min="344" max="344" width="62.42578125" customWidth="1"/>
    <col min="345" max="345" width="69.28515625" customWidth="1"/>
    <col min="346" max="346" width="70.140625" customWidth="1"/>
    <col min="347" max="347" width="69.140625" customWidth="1"/>
    <col min="348" max="348" width="72.42578125" customWidth="1"/>
    <col min="349" max="349" width="76" customWidth="1"/>
    <col min="350" max="350" width="73.42578125" customWidth="1"/>
    <col min="351" max="351" width="73.140625" customWidth="1"/>
    <col min="352" max="352" width="73" customWidth="1"/>
    <col min="353" max="353" width="82" customWidth="1"/>
    <col min="354" max="354" width="83" customWidth="1"/>
    <col min="355" max="355" width="81.7109375" customWidth="1"/>
    <col min="356" max="356" width="85" customWidth="1"/>
    <col min="357" max="357" width="88.85546875" customWidth="1"/>
    <col min="358" max="358" width="86" customWidth="1"/>
    <col min="359" max="359" width="81.7109375" customWidth="1"/>
    <col min="360" max="360" width="82.85546875" customWidth="1"/>
    <col min="361" max="361" width="81.42578125" customWidth="1"/>
    <col min="362" max="362" width="84.85546875" customWidth="1"/>
    <col min="363" max="363" width="88.7109375" customWidth="1"/>
    <col min="364" max="364" width="85.85546875" customWidth="1"/>
    <col min="365" max="365" width="45.7109375" customWidth="1"/>
    <col min="366" max="366" width="45.42578125" customWidth="1"/>
    <col min="367" max="367" width="36" customWidth="1"/>
    <col min="368" max="368" width="58.28515625" customWidth="1"/>
    <col min="369" max="369" width="58.140625" customWidth="1"/>
    <col min="370" max="370" width="65.42578125" customWidth="1"/>
    <col min="371" max="371" width="61.140625" customWidth="1"/>
    <col min="372" max="372" width="65.28515625" customWidth="1"/>
    <col min="373" max="373" width="61" customWidth="1"/>
    <col min="374" max="374" width="53.140625" customWidth="1"/>
    <col min="375" max="375" width="49.42578125" customWidth="1"/>
    <col min="376" max="376" width="63.42578125" customWidth="1"/>
    <col min="377" max="377" width="63.140625" customWidth="1"/>
    <col min="378" max="378" width="49.7109375" customWidth="1"/>
    <col min="379" max="379" width="56" customWidth="1"/>
    <col min="380" max="380" width="72.42578125" customWidth="1"/>
    <col min="381" max="381" width="75" customWidth="1"/>
    <col min="382" max="382" width="73.85546875" customWidth="1"/>
    <col min="383" max="383" width="75.85546875" customWidth="1"/>
    <col min="384" max="384" width="74.42578125" customWidth="1"/>
    <col min="385" max="385" width="73.42578125" customWidth="1"/>
    <col min="386" max="386" width="67.85546875" customWidth="1"/>
    <col min="387" max="387" width="60.7109375" customWidth="1"/>
    <col min="388" max="388" width="61.42578125" customWidth="1"/>
    <col min="389" max="389" width="57.28515625" customWidth="1"/>
    <col min="390" max="390" width="60.7109375" customWidth="1"/>
    <col min="391" max="391" width="60" customWidth="1"/>
    <col min="392" max="392" width="79.28515625" customWidth="1"/>
    <col min="393" max="393" width="60.28515625" customWidth="1"/>
    <col min="394" max="394" width="67.28515625" customWidth="1"/>
    <col min="395" max="395" width="68.140625" customWidth="1"/>
    <col min="396" max="396" width="66.85546875" customWidth="1"/>
    <col min="397" max="397" width="70.140625" customWidth="1"/>
    <col min="398" max="398" width="74" customWidth="1"/>
    <col min="399" max="399" width="71.140625" customWidth="1"/>
    <col min="400" max="400" width="63.140625" customWidth="1"/>
    <col min="401" max="401" width="63" customWidth="1"/>
    <col min="402" max="402" width="49.42578125" customWidth="1"/>
    <col min="403" max="403" width="55.85546875" customWidth="1"/>
    <col min="404" max="404" width="72" customWidth="1"/>
    <col min="405" max="405" width="74.85546875" customWidth="1"/>
    <col min="406" max="406" width="73.42578125" customWidth="1"/>
    <col min="407" max="407" width="75.7109375" customWidth="1"/>
    <col min="408" max="408" width="74.42578125" customWidth="1"/>
    <col min="409" max="409" width="73.42578125" customWidth="1"/>
    <col min="410" max="410" width="67.7109375" customWidth="1"/>
    <col min="411" max="411" width="60.42578125" customWidth="1"/>
    <col min="412" max="412" width="61.42578125" customWidth="1"/>
    <col min="413" max="413" width="57.140625" customWidth="1"/>
    <col min="414" max="414" width="60.42578125" customWidth="1"/>
    <col min="415" max="415" width="59.7109375" customWidth="1"/>
    <col min="416" max="416" width="79.140625" customWidth="1"/>
    <col min="417" max="417" width="60.140625" customWidth="1"/>
    <col min="418" max="418" width="66.85546875" customWidth="1"/>
    <col min="419" max="419" width="67.85546875" customWidth="1"/>
    <col min="420" max="420" width="66.7109375" customWidth="1"/>
    <col min="421" max="421" width="70" customWidth="1"/>
    <col min="422" max="422" width="73.85546875" customWidth="1"/>
    <col min="423" max="423" width="71" customWidth="1"/>
    <col min="424" max="424" width="70.7109375" customWidth="1"/>
    <col min="425" max="425" width="70.42578125" customWidth="1"/>
    <col min="426" max="426" width="79.7109375" customWidth="1"/>
    <col min="427" max="427" width="80.42578125" customWidth="1"/>
    <col min="428" max="428" width="79.42578125" customWidth="1"/>
    <col min="429" max="429" width="82.85546875" customWidth="1"/>
    <col min="430" max="430" width="86.42578125" customWidth="1"/>
    <col min="431" max="431" width="83.85546875" customWidth="1"/>
    <col min="432" max="432" width="79.42578125" customWidth="1"/>
    <col min="433" max="433" width="80.28515625" customWidth="1"/>
    <col min="434" max="434" width="79.28515625" customWidth="1"/>
    <col min="435" max="435" width="82.42578125" customWidth="1"/>
    <col min="436" max="436" width="86.28515625" customWidth="1"/>
    <col min="437" max="437" width="83.42578125" customWidth="1"/>
    <col min="438" max="438" width="48.42578125" customWidth="1"/>
    <col min="439" max="439" width="48.28515625" customWidth="1"/>
    <col min="440" max="440" width="38.85546875" customWidth="1"/>
    <col min="441" max="441" width="61" customWidth="1"/>
    <col min="442" max="442" width="60.7109375" customWidth="1"/>
    <col min="443" max="443" width="68.28515625" customWidth="1"/>
    <col min="444" max="444" width="64" customWidth="1"/>
    <col min="445" max="445" width="68.140625" customWidth="1"/>
    <col min="446" max="446" width="63.85546875" customWidth="1"/>
    <col min="447" max="447" width="55.85546875" customWidth="1"/>
    <col min="448" max="448" width="52.42578125" customWidth="1"/>
    <col min="449" max="449" width="66" customWidth="1"/>
    <col min="450" max="450" width="65.85546875" customWidth="1"/>
    <col min="451" max="451" width="52.42578125" customWidth="1"/>
    <col min="452" max="452" width="58.85546875" customWidth="1"/>
    <col min="453" max="453" width="75" customWidth="1"/>
    <col min="454" max="454" width="77.85546875" customWidth="1"/>
    <col min="455" max="455" width="76.42578125" customWidth="1"/>
    <col min="456" max="456" width="78.7109375" customWidth="1"/>
    <col min="457" max="457" width="77.42578125" customWidth="1"/>
    <col min="458" max="458" width="76.28515625" customWidth="1"/>
    <col min="459" max="459" width="70.42578125" customWidth="1"/>
    <col min="460" max="460" width="63.42578125" customWidth="1"/>
    <col min="461" max="461" width="64.42578125" customWidth="1"/>
    <col min="462" max="462" width="60" customWidth="1"/>
    <col min="463" max="463" width="63.42578125" customWidth="1"/>
    <col min="464" max="464" width="62.85546875" customWidth="1"/>
    <col min="465" max="465" width="82" customWidth="1"/>
    <col min="466" max="466" width="63.140625" customWidth="1"/>
    <col min="467" max="467" width="70" customWidth="1"/>
    <col min="468" max="468" width="70.7109375" customWidth="1"/>
    <col min="469" max="469" width="69.7109375" customWidth="1"/>
    <col min="470" max="470" width="73" customWidth="1"/>
    <col min="471" max="471" width="76.7109375" customWidth="1"/>
    <col min="472" max="472" width="74" customWidth="1"/>
    <col min="473" max="473" width="65.85546875" customWidth="1"/>
    <col min="474" max="474" width="65.7109375" customWidth="1"/>
    <col min="475" max="475" width="52.42578125" customWidth="1"/>
    <col min="476" max="476" width="58.7109375" customWidth="1"/>
    <col min="477" max="477" width="74.85546875" customWidth="1"/>
    <col min="478" max="478" width="77.7109375" customWidth="1"/>
    <col min="479" max="479" width="76.28515625" customWidth="1"/>
    <col min="480" max="480" width="78.42578125" customWidth="1"/>
    <col min="481" max="481" width="77.140625" customWidth="1"/>
    <col min="482" max="482" width="76" customWidth="1"/>
    <col min="483" max="483" width="70.28515625" customWidth="1"/>
    <col min="484" max="484" width="63.42578125" customWidth="1"/>
    <col min="485" max="485" width="64.28515625" customWidth="1"/>
    <col min="486" max="486" width="59.7109375" customWidth="1"/>
    <col min="487" max="487" width="63.42578125" customWidth="1"/>
    <col min="488" max="488" width="62.42578125" customWidth="1"/>
    <col min="489" max="489" width="81.7109375" customWidth="1"/>
    <col min="490" max="490" width="63" customWidth="1"/>
    <col min="491" max="491" width="69.7109375" customWidth="1"/>
    <col min="492" max="492" width="70.42578125" customWidth="1"/>
    <col min="493" max="493" width="69.42578125" customWidth="1"/>
    <col min="494" max="494" width="72.85546875" customWidth="1"/>
    <col min="495" max="495" width="76.42578125" customWidth="1"/>
    <col min="496" max="496" width="73.85546875" customWidth="1"/>
    <col min="497" max="498" width="73.42578125" customWidth="1"/>
    <col min="499" max="499" width="82.42578125" customWidth="1"/>
    <col min="500" max="500" width="83.42578125" customWidth="1"/>
    <col min="501" max="501" width="82.140625" customWidth="1"/>
    <col min="502" max="502" width="85.42578125" customWidth="1"/>
    <col min="503" max="503" width="89.28515625" customWidth="1"/>
    <col min="504" max="504" width="86.42578125" customWidth="1"/>
    <col min="505" max="505" width="82.140625" customWidth="1"/>
    <col min="506" max="506" width="83.140625" customWidth="1"/>
    <col min="507" max="507" width="82" customWidth="1"/>
    <col min="508" max="508" width="85.28515625" customWidth="1"/>
    <col min="509" max="509" width="89.140625" customWidth="1"/>
    <col min="510" max="510" width="86.28515625" customWidth="1"/>
    <col min="511" max="511" width="44" customWidth="1"/>
    <col min="512" max="512" width="43.85546875" customWidth="1"/>
    <col min="513" max="513" width="34.42578125" customWidth="1"/>
    <col min="514" max="514" width="56.42578125" customWidth="1"/>
    <col min="515" max="515" width="56.28515625" customWidth="1"/>
    <col min="516" max="516" width="63.85546875" customWidth="1"/>
    <col min="517" max="517" width="59.42578125" customWidth="1"/>
    <col min="518" max="518" width="63.42578125" customWidth="1"/>
    <col min="519" max="519" width="59.28515625" customWidth="1"/>
    <col min="520" max="520" width="51.42578125" customWidth="1"/>
    <col min="521" max="521" width="47.85546875" customWidth="1"/>
    <col min="522" max="523" width="61.42578125" customWidth="1"/>
    <col min="524" max="524" width="48.140625" customWidth="1"/>
    <col min="525" max="525" width="54.42578125" customWidth="1"/>
    <col min="526" max="526" width="70.42578125" customWidth="1"/>
    <col min="527" max="527" width="73.42578125" customWidth="1"/>
    <col min="528" max="528" width="72" customWidth="1"/>
    <col min="529" max="529" width="74.28515625" customWidth="1"/>
    <col min="530" max="530" width="73" customWidth="1"/>
    <col min="531" max="531" width="71.7109375" customWidth="1"/>
    <col min="532" max="532" width="66" customWidth="1"/>
    <col min="533" max="533" width="59.140625" customWidth="1"/>
    <col min="534" max="534" width="60" customWidth="1"/>
    <col min="535" max="535" width="55.42578125" customWidth="1"/>
    <col min="536" max="536" width="59.140625" customWidth="1"/>
    <col min="537" max="537" width="58.28515625" customWidth="1"/>
    <col min="538" max="538" width="77.7109375" customWidth="1"/>
    <col min="539" max="539" width="58.7109375" customWidth="1"/>
    <col min="540" max="540" width="65.42578125" customWidth="1"/>
    <col min="541" max="541" width="66.28515625" customWidth="1"/>
    <col min="542" max="542" width="65.28515625" customWidth="1"/>
    <col min="543" max="543" width="68.42578125" customWidth="1"/>
    <col min="544" max="544" width="72.42578125" customWidth="1"/>
    <col min="545" max="545" width="69.42578125" customWidth="1"/>
    <col min="546" max="546" width="61.42578125" customWidth="1"/>
    <col min="547" max="547" width="61.140625" customWidth="1"/>
    <col min="548" max="548" width="47.85546875" customWidth="1"/>
    <col min="549" max="549" width="54.28515625" customWidth="1"/>
    <col min="550" max="550" width="70.28515625" customWidth="1"/>
    <col min="551" max="551" width="73.140625" customWidth="1"/>
    <col min="552" max="552" width="71.7109375" customWidth="1"/>
    <col min="553" max="553" width="74" customWidth="1"/>
    <col min="554" max="554" width="72.85546875" customWidth="1"/>
    <col min="555" max="555" width="71.42578125" customWidth="1"/>
    <col min="556" max="556" width="65.85546875" customWidth="1"/>
    <col min="557" max="557" width="58.85546875" customWidth="1"/>
    <col min="558" max="558" width="59.7109375" customWidth="1"/>
    <col min="559" max="559" width="55.28515625" customWidth="1"/>
    <col min="560" max="560" width="58.85546875" customWidth="1"/>
    <col min="561" max="561" width="58.140625" customWidth="1"/>
    <col min="562" max="562" width="77.42578125" customWidth="1"/>
    <col min="563" max="563" width="58.42578125" customWidth="1"/>
    <col min="564" max="564" width="65.28515625" customWidth="1"/>
    <col min="565" max="565" width="66" customWidth="1"/>
    <col min="566" max="566" width="65" customWidth="1"/>
    <col min="567" max="567" width="68.28515625" customWidth="1"/>
    <col min="568" max="568" width="72" customWidth="1"/>
    <col min="569" max="569" width="69.28515625" customWidth="1"/>
    <col min="570" max="570" width="69.140625" customWidth="1"/>
    <col min="571" max="571" width="68.85546875" customWidth="1"/>
    <col min="572" max="572" width="78.140625" customWidth="1"/>
    <col min="573" max="573" width="78.85546875" customWidth="1"/>
    <col min="574" max="574" width="77.85546875" customWidth="1"/>
    <col min="575" max="575" width="81" customWidth="1"/>
    <col min="576" max="576" width="84.85546875" customWidth="1"/>
    <col min="577" max="577" width="82" customWidth="1"/>
    <col min="578" max="578" width="77.85546875" customWidth="1"/>
    <col min="579" max="579" width="78.7109375" customWidth="1"/>
    <col min="580" max="580" width="77.7109375" customWidth="1"/>
    <col min="581" max="581" width="80.7109375" customWidth="1"/>
    <col min="582" max="582" width="84.42578125" customWidth="1"/>
    <col min="583" max="583" width="81.7109375" customWidth="1"/>
    <col min="584" max="584" width="44" customWidth="1"/>
    <col min="585" max="585" width="43.85546875" customWidth="1"/>
    <col min="586" max="586" width="34.42578125" customWidth="1"/>
    <col min="587" max="587" width="56.42578125" customWidth="1"/>
    <col min="588" max="588" width="56.28515625" customWidth="1"/>
    <col min="589" max="589" width="63.85546875" customWidth="1"/>
    <col min="590" max="590" width="59.42578125" customWidth="1"/>
    <col min="591" max="591" width="63.42578125" customWidth="1"/>
    <col min="592" max="592" width="59.28515625" customWidth="1"/>
    <col min="593" max="593" width="51.42578125" customWidth="1"/>
    <col min="594" max="594" width="47.85546875" customWidth="1"/>
    <col min="595" max="596" width="61.42578125" customWidth="1"/>
    <col min="597" max="597" width="48.140625" customWidth="1"/>
    <col min="598" max="598" width="54.42578125" customWidth="1"/>
    <col min="599" max="599" width="70.42578125" customWidth="1"/>
    <col min="600" max="600" width="73.42578125" customWidth="1"/>
    <col min="601" max="601" width="72" customWidth="1"/>
    <col min="602" max="602" width="74.28515625" customWidth="1"/>
    <col min="603" max="603" width="73" customWidth="1"/>
    <col min="604" max="604" width="71.7109375" customWidth="1"/>
    <col min="605" max="605" width="66" customWidth="1"/>
    <col min="606" max="606" width="59.140625" customWidth="1"/>
    <col min="607" max="607" width="60" customWidth="1"/>
    <col min="608" max="608" width="55.42578125" customWidth="1"/>
    <col min="609" max="609" width="59.140625" customWidth="1"/>
    <col min="610" max="610" width="58.28515625" customWidth="1"/>
    <col min="611" max="611" width="77.7109375" customWidth="1"/>
    <col min="612" max="612" width="58.7109375" customWidth="1"/>
    <col min="613" max="613" width="65.42578125" customWidth="1"/>
    <col min="614" max="614" width="66.28515625" customWidth="1"/>
    <col min="615" max="615" width="65.28515625" customWidth="1"/>
    <col min="616" max="616" width="68.42578125" customWidth="1"/>
    <col min="617" max="617" width="72.42578125" customWidth="1"/>
    <col min="618" max="618" width="69.42578125" customWidth="1"/>
    <col min="619" max="619" width="61.42578125" customWidth="1"/>
    <col min="620" max="620" width="61.140625" customWidth="1"/>
    <col min="621" max="621" width="47.85546875" customWidth="1"/>
    <col min="622" max="622" width="54.28515625" customWidth="1"/>
    <col min="623" max="623" width="70.28515625" customWidth="1"/>
    <col min="624" max="624" width="73.140625" customWidth="1"/>
    <col min="625" max="625" width="71.7109375" customWidth="1"/>
    <col min="626" max="626" width="74" customWidth="1"/>
    <col min="627" max="627" width="72.85546875" customWidth="1"/>
    <col min="628" max="628" width="71.42578125" customWidth="1"/>
    <col min="629" max="629" width="65.85546875" customWidth="1"/>
    <col min="630" max="630" width="58.85546875" customWidth="1"/>
    <col min="631" max="631" width="59.7109375" customWidth="1"/>
    <col min="632" max="632" width="55.28515625" customWidth="1"/>
    <col min="633" max="633" width="58.85546875" customWidth="1"/>
    <col min="634" max="634" width="58.140625" customWidth="1"/>
    <col min="635" max="635" width="77.42578125" customWidth="1"/>
    <col min="636" max="636" width="58.42578125" customWidth="1"/>
    <col min="637" max="637" width="65.28515625" customWidth="1"/>
    <col min="638" max="638" width="66" customWidth="1"/>
    <col min="639" max="639" width="65" customWidth="1"/>
    <col min="640" max="640" width="68.28515625" customWidth="1"/>
    <col min="641" max="641" width="72" customWidth="1"/>
    <col min="642" max="642" width="69.28515625" customWidth="1"/>
    <col min="643" max="643" width="69.140625" customWidth="1"/>
    <col min="644" max="644" width="68.85546875" customWidth="1"/>
    <col min="645" max="645" width="78.140625" customWidth="1"/>
    <col min="646" max="646" width="78.85546875" customWidth="1"/>
    <col min="647" max="647" width="77.85546875" customWidth="1"/>
    <col min="648" max="648" width="81" customWidth="1"/>
    <col min="649" max="649" width="84.85546875" customWidth="1"/>
    <col min="650" max="650" width="82" customWidth="1"/>
    <col min="651" max="651" width="77.85546875" customWidth="1"/>
    <col min="652" max="652" width="78.7109375" customWidth="1"/>
    <col min="653" max="653" width="77.7109375" customWidth="1"/>
    <col min="654" max="654" width="80.7109375" customWidth="1"/>
    <col min="655" max="655" width="84.42578125" customWidth="1"/>
    <col min="656" max="656" width="81.7109375" customWidth="1"/>
    <col min="657" max="657" width="40.140625" customWidth="1"/>
    <col min="658" max="658" width="43" customWidth="1"/>
    <col min="659" max="659" width="40.140625" customWidth="1"/>
    <col min="660" max="661" width="43" customWidth="1"/>
    <col min="662" max="662" width="45.7109375" customWidth="1"/>
    <col min="663" max="663" width="40.42578125" customWidth="1"/>
    <col min="664" max="665" width="43.42578125" customWidth="1"/>
    <col min="666" max="666" width="46" customWidth="1"/>
    <col min="667" max="667" width="38.85546875" customWidth="1"/>
    <col min="668" max="668" width="41.7109375" customWidth="1"/>
    <col min="669" max="669" width="38.85546875" customWidth="1"/>
    <col min="670" max="670" width="41.7109375" customWidth="1"/>
    <col min="671" max="671" width="43.42578125" customWidth="1"/>
    <col min="672" max="672" width="45" customWidth="1"/>
    <col min="673" max="673" width="44.85546875" customWidth="1"/>
    <col min="674" max="674" width="43.42578125" customWidth="1"/>
    <col min="675" max="675" width="45" customWidth="1"/>
    <col min="676" max="676" width="44.85546875" customWidth="1"/>
    <col min="677" max="677" width="46.28515625" customWidth="1"/>
    <col min="678" max="678" width="47.85546875" customWidth="1"/>
    <col min="679" max="679" width="47.7109375" customWidth="1"/>
    <col min="680" max="680" width="44" customWidth="1"/>
    <col min="681" max="681" width="45.42578125" customWidth="1"/>
    <col min="682" max="682" width="45.28515625" customWidth="1"/>
    <col min="683" max="683" width="46.85546875" customWidth="1"/>
    <col min="684" max="684" width="48.28515625" customWidth="1"/>
    <col min="685" max="685" width="48.140625" customWidth="1"/>
    <col min="686" max="686" width="42.42578125" customWidth="1"/>
    <col min="687" max="687" width="43.85546875" customWidth="1"/>
    <col min="688" max="688" width="43.42578125" customWidth="1"/>
    <col min="689" max="689" width="42.42578125" customWidth="1"/>
    <col min="690" max="690" width="43.85546875" customWidth="1"/>
    <col min="691" max="691" width="43.42578125" customWidth="1"/>
  </cols>
  <sheetData>
    <row r="1" spans="1:1354">
      <c r="A1" t="s">
        <v>74</v>
      </c>
      <c r="B1" t="s">
        <v>75</v>
      </c>
      <c r="C1" t="s">
        <v>76</v>
      </c>
      <c r="D1" t="s">
        <v>77</v>
      </c>
      <c r="E1" t="s">
        <v>78</v>
      </c>
      <c r="F1" t="s">
        <v>79</v>
      </c>
      <c r="G1" t="s">
        <v>80</v>
      </c>
      <c r="H1" t="s">
        <v>81</v>
      </c>
      <c r="I1" t="s">
        <v>82</v>
      </c>
      <c r="J1" t="s">
        <v>83</v>
      </c>
      <c r="K1" t="s">
        <v>84</v>
      </c>
      <c r="L1" t="s">
        <v>85</v>
      </c>
      <c r="M1" t="s">
        <v>86</v>
      </c>
      <c r="N1" t="s">
        <v>87</v>
      </c>
      <c r="O1" t="s">
        <v>88</v>
      </c>
      <c r="P1" t="s">
        <v>89</v>
      </c>
      <c r="Q1" t="s">
        <v>90</v>
      </c>
      <c r="R1" t="s">
        <v>91</v>
      </c>
      <c r="S1" t="s">
        <v>92</v>
      </c>
      <c r="T1" t="s">
        <v>93</v>
      </c>
      <c r="U1" t="s">
        <v>94</v>
      </c>
      <c r="V1" t="s">
        <v>95</v>
      </c>
      <c r="W1" t="s">
        <v>96</v>
      </c>
      <c r="X1" t="s">
        <v>97</v>
      </c>
      <c r="Y1" t="s">
        <v>98</v>
      </c>
      <c r="Z1" t="s">
        <v>99</v>
      </c>
      <c r="AA1" t="s">
        <v>100</v>
      </c>
      <c r="AB1" t="s">
        <v>101</v>
      </c>
      <c r="AC1" t="s">
        <v>102</v>
      </c>
      <c r="AD1" t="s">
        <v>103</v>
      </c>
      <c r="AE1" t="s">
        <v>104</v>
      </c>
      <c r="AF1" t="s">
        <v>105</v>
      </c>
      <c r="AG1" t="s">
        <v>106</v>
      </c>
      <c r="AH1" t="s">
        <v>107</v>
      </c>
      <c r="AI1" t="s">
        <v>108</v>
      </c>
      <c r="AJ1" t="s">
        <v>109</v>
      </c>
      <c r="AK1" t="s">
        <v>110</v>
      </c>
      <c r="AL1" t="s">
        <v>111</v>
      </c>
      <c r="AM1" t="s">
        <v>112</v>
      </c>
      <c r="AN1" t="s">
        <v>113</v>
      </c>
      <c r="AO1" t="s">
        <v>114</v>
      </c>
      <c r="AP1" t="s">
        <v>115</v>
      </c>
      <c r="AQ1" t="s">
        <v>116</v>
      </c>
      <c r="AR1" t="s">
        <v>117</v>
      </c>
      <c r="AS1" t="s">
        <v>118</v>
      </c>
      <c r="AT1" t="s">
        <v>119</v>
      </c>
      <c r="AU1" t="s">
        <v>120</v>
      </c>
      <c r="AV1" t="s">
        <v>121</v>
      </c>
      <c r="AW1" t="s">
        <v>122</v>
      </c>
      <c r="AX1" t="s">
        <v>123</v>
      </c>
      <c r="AY1" t="s">
        <v>124</v>
      </c>
      <c r="AZ1" t="s">
        <v>125</v>
      </c>
      <c r="BA1" t="s">
        <v>126</v>
      </c>
      <c r="BB1" t="s">
        <v>127</v>
      </c>
      <c r="BC1" t="s">
        <v>128</v>
      </c>
      <c r="BD1" t="s">
        <v>129</v>
      </c>
      <c r="BE1" t="s">
        <v>130</v>
      </c>
      <c r="BF1" t="s">
        <v>131</v>
      </c>
      <c r="BG1" t="s">
        <v>132</v>
      </c>
      <c r="BH1" t="s">
        <v>133</v>
      </c>
      <c r="BI1" t="s">
        <v>134</v>
      </c>
      <c r="BJ1" t="s">
        <v>135</v>
      </c>
      <c r="BK1" t="s">
        <v>136</v>
      </c>
      <c r="BL1" t="s">
        <v>137</v>
      </c>
      <c r="BM1" t="s">
        <v>138</v>
      </c>
      <c r="BN1" t="s">
        <v>139</v>
      </c>
      <c r="BO1" t="s">
        <v>140</v>
      </c>
      <c r="BP1" t="s">
        <v>141</v>
      </c>
      <c r="BQ1" t="s">
        <v>142</v>
      </c>
      <c r="BR1" t="s">
        <v>143</v>
      </c>
      <c r="BS1" t="s">
        <v>144</v>
      </c>
      <c r="BT1" t="s">
        <v>145</v>
      </c>
      <c r="BU1" t="s">
        <v>146</v>
      </c>
      <c r="BV1" t="s">
        <v>147</v>
      </c>
      <c r="BW1" t="s">
        <v>148</v>
      </c>
      <c r="BX1" t="s">
        <v>149</v>
      </c>
      <c r="BY1" t="s">
        <v>150</v>
      </c>
      <c r="BZ1" t="s">
        <v>151</v>
      </c>
      <c r="CA1" t="s">
        <v>152</v>
      </c>
      <c r="CB1" t="s">
        <v>153</v>
      </c>
      <c r="CC1" t="s">
        <v>154</v>
      </c>
      <c r="CD1" t="s">
        <v>155</v>
      </c>
      <c r="CE1" t="s">
        <v>156</v>
      </c>
      <c r="CF1" t="s">
        <v>157</v>
      </c>
      <c r="CG1" t="s">
        <v>158</v>
      </c>
      <c r="CH1" t="s">
        <v>159</v>
      </c>
      <c r="CI1" t="s">
        <v>160</v>
      </c>
      <c r="CJ1" t="s">
        <v>161</v>
      </c>
      <c r="CK1" t="s">
        <v>162</v>
      </c>
      <c r="CL1" t="s">
        <v>163</v>
      </c>
      <c r="CM1" t="s">
        <v>164</v>
      </c>
      <c r="CN1" t="s">
        <v>165</v>
      </c>
      <c r="CO1" t="s">
        <v>166</v>
      </c>
      <c r="CP1" t="s">
        <v>167</v>
      </c>
      <c r="CQ1" t="s">
        <v>168</v>
      </c>
      <c r="CR1" t="s">
        <v>169</v>
      </c>
      <c r="CS1" t="s">
        <v>170</v>
      </c>
      <c r="CT1" t="s">
        <v>171</v>
      </c>
      <c r="CU1" t="s">
        <v>172</v>
      </c>
      <c r="CV1" t="s">
        <v>173</v>
      </c>
      <c r="CW1" t="s">
        <v>174</v>
      </c>
      <c r="CX1" t="s">
        <v>175</v>
      </c>
      <c r="CY1" t="s">
        <v>176</v>
      </c>
      <c r="CZ1" t="s">
        <v>177</v>
      </c>
      <c r="DA1" t="s">
        <v>178</v>
      </c>
      <c r="DB1" t="s">
        <v>179</v>
      </c>
      <c r="DC1" t="s">
        <v>180</v>
      </c>
      <c r="DD1" t="s">
        <v>181</v>
      </c>
      <c r="DE1" t="s">
        <v>182</v>
      </c>
      <c r="DF1" t="s">
        <v>183</v>
      </c>
      <c r="DG1" t="s">
        <v>184</v>
      </c>
      <c r="DH1" t="s">
        <v>185</v>
      </c>
      <c r="DI1" t="s">
        <v>186</v>
      </c>
      <c r="DJ1" t="s">
        <v>187</v>
      </c>
      <c r="DK1" t="s">
        <v>188</v>
      </c>
      <c r="DL1" t="s">
        <v>189</v>
      </c>
      <c r="DM1" t="s">
        <v>190</v>
      </c>
      <c r="DN1" t="s">
        <v>191</v>
      </c>
      <c r="DO1" t="s">
        <v>192</v>
      </c>
      <c r="DP1" t="s">
        <v>193</v>
      </c>
      <c r="DQ1" t="s">
        <v>194</v>
      </c>
      <c r="DR1" t="s">
        <v>195</v>
      </c>
      <c r="DS1" t="s">
        <v>196</v>
      </c>
      <c r="DT1" t="s">
        <v>197</v>
      </c>
      <c r="DU1" t="s">
        <v>198</v>
      </c>
      <c r="DV1" t="s">
        <v>199</v>
      </c>
      <c r="DW1" t="s">
        <v>200</v>
      </c>
      <c r="DX1" t="s">
        <v>201</v>
      </c>
      <c r="DY1" t="s">
        <v>202</v>
      </c>
      <c r="DZ1" t="s">
        <v>203</v>
      </c>
      <c r="EA1" t="s">
        <v>204</v>
      </c>
      <c r="EB1" t="s">
        <v>205</v>
      </c>
      <c r="EC1" t="s">
        <v>206</v>
      </c>
      <c r="ED1" t="s">
        <v>207</v>
      </c>
      <c r="EE1" t="s">
        <v>208</v>
      </c>
      <c r="EF1" t="s">
        <v>209</v>
      </c>
      <c r="EG1" t="s">
        <v>210</v>
      </c>
      <c r="EH1" t="s">
        <v>211</v>
      </c>
      <c r="EI1" t="s">
        <v>212</v>
      </c>
      <c r="EJ1" t="s">
        <v>213</v>
      </c>
      <c r="EK1" t="s">
        <v>214</v>
      </c>
      <c r="EL1" t="s">
        <v>215</v>
      </c>
      <c r="EM1" t="s">
        <v>216</v>
      </c>
      <c r="EN1" t="s">
        <v>217</v>
      </c>
      <c r="EO1" t="s">
        <v>218</v>
      </c>
      <c r="EP1" t="s">
        <v>219</v>
      </c>
      <c r="EQ1" t="s">
        <v>220</v>
      </c>
      <c r="ER1" t="s">
        <v>221</v>
      </c>
      <c r="ES1" t="s">
        <v>222</v>
      </c>
      <c r="ET1" t="s">
        <v>223</v>
      </c>
      <c r="EU1" t="s">
        <v>224</v>
      </c>
      <c r="EV1" t="s">
        <v>225</v>
      </c>
      <c r="EW1" t="s">
        <v>226</v>
      </c>
      <c r="EX1" t="s">
        <v>227</v>
      </c>
      <c r="EY1" t="s">
        <v>228</v>
      </c>
      <c r="EZ1" t="s">
        <v>229</v>
      </c>
      <c r="FA1" t="s">
        <v>230</v>
      </c>
      <c r="FB1" t="s">
        <v>231</v>
      </c>
      <c r="FC1" t="s">
        <v>232</v>
      </c>
      <c r="FD1" t="s">
        <v>233</v>
      </c>
      <c r="FE1" t="s">
        <v>234</v>
      </c>
      <c r="FF1" t="s">
        <v>235</v>
      </c>
      <c r="FG1" t="s">
        <v>236</v>
      </c>
      <c r="FH1" t="s">
        <v>237</v>
      </c>
      <c r="FI1" t="s">
        <v>238</v>
      </c>
      <c r="FJ1" t="s">
        <v>239</v>
      </c>
      <c r="FK1" t="s">
        <v>240</v>
      </c>
      <c r="FL1" t="s">
        <v>241</v>
      </c>
      <c r="FM1" t="s">
        <v>242</v>
      </c>
      <c r="FN1" t="s">
        <v>243</v>
      </c>
      <c r="FO1" t="s">
        <v>244</v>
      </c>
      <c r="FP1" t="s">
        <v>245</v>
      </c>
      <c r="FQ1" t="s">
        <v>246</v>
      </c>
      <c r="FR1" t="s">
        <v>247</v>
      </c>
      <c r="FS1" t="s">
        <v>248</v>
      </c>
      <c r="FT1" t="s">
        <v>249</v>
      </c>
      <c r="FU1" t="s">
        <v>250</v>
      </c>
      <c r="FV1" t="s">
        <v>251</v>
      </c>
      <c r="FW1" t="s">
        <v>252</v>
      </c>
      <c r="FX1" t="s">
        <v>253</v>
      </c>
      <c r="FY1" t="s">
        <v>254</v>
      </c>
      <c r="FZ1" t="s">
        <v>255</v>
      </c>
      <c r="GA1" t="s">
        <v>256</v>
      </c>
      <c r="GB1" t="s">
        <v>257</v>
      </c>
      <c r="GC1" t="s">
        <v>258</v>
      </c>
      <c r="GD1" t="s">
        <v>259</v>
      </c>
      <c r="GE1" t="s">
        <v>260</v>
      </c>
      <c r="GF1" t="s">
        <v>261</v>
      </c>
      <c r="GG1" t="s">
        <v>262</v>
      </c>
      <c r="GH1" t="s">
        <v>263</v>
      </c>
      <c r="GI1" t="s">
        <v>264</v>
      </c>
      <c r="GJ1" t="s">
        <v>265</v>
      </c>
      <c r="GK1" t="s">
        <v>266</v>
      </c>
      <c r="GL1" t="s">
        <v>267</v>
      </c>
      <c r="GM1" t="s">
        <v>268</v>
      </c>
      <c r="GN1" t="s">
        <v>269</v>
      </c>
      <c r="GO1" t="s">
        <v>270</v>
      </c>
      <c r="GP1" t="s">
        <v>271</v>
      </c>
      <c r="GQ1" t="s">
        <v>272</v>
      </c>
      <c r="GR1" t="s">
        <v>273</v>
      </c>
      <c r="GS1" t="s">
        <v>274</v>
      </c>
      <c r="GT1" t="s">
        <v>275</v>
      </c>
      <c r="GU1" t="s">
        <v>276</v>
      </c>
      <c r="GV1" t="s">
        <v>277</v>
      </c>
      <c r="GW1" t="s">
        <v>278</v>
      </c>
      <c r="GX1" t="s">
        <v>279</v>
      </c>
      <c r="GY1" t="s">
        <v>280</v>
      </c>
      <c r="GZ1" t="s">
        <v>281</v>
      </c>
      <c r="HA1" t="s">
        <v>282</v>
      </c>
      <c r="HB1" t="s">
        <v>283</v>
      </c>
      <c r="HC1" t="s">
        <v>284</v>
      </c>
      <c r="HD1" t="s">
        <v>285</v>
      </c>
      <c r="HE1" t="s">
        <v>286</v>
      </c>
      <c r="HF1" t="s">
        <v>287</v>
      </c>
      <c r="HG1" t="s">
        <v>288</v>
      </c>
      <c r="HH1" t="s">
        <v>289</v>
      </c>
      <c r="HI1" t="s">
        <v>290</v>
      </c>
      <c r="HJ1" t="s">
        <v>291</v>
      </c>
      <c r="HK1" t="s">
        <v>292</v>
      </c>
      <c r="HL1" t="s">
        <v>293</v>
      </c>
      <c r="HM1" t="s">
        <v>294</v>
      </c>
      <c r="HN1" t="s">
        <v>295</v>
      </c>
      <c r="HO1" t="s">
        <v>296</v>
      </c>
      <c r="HP1" t="s">
        <v>297</v>
      </c>
      <c r="HQ1" t="s">
        <v>298</v>
      </c>
      <c r="HR1" t="s">
        <v>299</v>
      </c>
      <c r="HS1" t="s">
        <v>300</v>
      </c>
      <c r="HT1" t="s">
        <v>301</v>
      </c>
      <c r="HU1" t="s">
        <v>302</v>
      </c>
      <c r="HV1" t="s">
        <v>303</v>
      </c>
      <c r="HW1" t="s">
        <v>304</v>
      </c>
      <c r="HX1" t="s">
        <v>305</v>
      </c>
      <c r="HY1" t="s">
        <v>306</v>
      </c>
      <c r="HZ1" t="s">
        <v>307</v>
      </c>
      <c r="IA1" t="s">
        <v>308</v>
      </c>
      <c r="IB1" t="s">
        <v>309</v>
      </c>
      <c r="IC1" t="s">
        <v>310</v>
      </c>
      <c r="ID1" t="s">
        <v>311</v>
      </c>
      <c r="IE1" t="s">
        <v>312</v>
      </c>
      <c r="IF1" t="s">
        <v>313</v>
      </c>
      <c r="IG1" t="s">
        <v>314</v>
      </c>
      <c r="IH1" t="s">
        <v>315</v>
      </c>
      <c r="II1" t="s">
        <v>316</v>
      </c>
      <c r="IJ1" t="s">
        <v>317</v>
      </c>
      <c r="IK1" t="s">
        <v>318</v>
      </c>
      <c r="IL1" t="s">
        <v>319</v>
      </c>
      <c r="IM1" t="s">
        <v>320</v>
      </c>
      <c r="IN1" t="s">
        <v>321</v>
      </c>
      <c r="IO1" t="s">
        <v>322</v>
      </c>
      <c r="IP1" t="s">
        <v>323</v>
      </c>
      <c r="IQ1" t="s">
        <v>324</v>
      </c>
      <c r="IR1" t="s">
        <v>325</v>
      </c>
      <c r="IS1" t="s">
        <v>326</v>
      </c>
      <c r="IT1" t="s">
        <v>327</v>
      </c>
      <c r="IU1" t="s">
        <v>328</v>
      </c>
      <c r="IV1" t="s">
        <v>329</v>
      </c>
      <c r="IW1" t="s">
        <v>330</v>
      </c>
      <c r="IX1" t="s">
        <v>331</v>
      </c>
      <c r="IY1" t="s">
        <v>332</v>
      </c>
      <c r="IZ1" t="s">
        <v>333</v>
      </c>
      <c r="JA1" t="s">
        <v>334</v>
      </c>
      <c r="JB1" t="s">
        <v>335</v>
      </c>
      <c r="JC1" t="s">
        <v>336</v>
      </c>
      <c r="JD1" t="s">
        <v>337</v>
      </c>
      <c r="JE1" t="s">
        <v>338</v>
      </c>
      <c r="JF1" t="s">
        <v>339</v>
      </c>
      <c r="JG1" t="s">
        <v>340</v>
      </c>
      <c r="JH1" t="s">
        <v>341</v>
      </c>
      <c r="JI1" t="s">
        <v>342</v>
      </c>
      <c r="JJ1" t="s">
        <v>343</v>
      </c>
      <c r="JK1" t="s">
        <v>344</v>
      </c>
      <c r="JL1" t="s">
        <v>345</v>
      </c>
      <c r="JM1" t="s">
        <v>346</v>
      </c>
      <c r="JN1" t="s">
        <v>347</v>
      </c>
      <c r="JO1" t="s">
        <v>348</v>
      </c>
      <c r="JP1" t="s">
        <v>349</v>
      </c>
      <c r="JQ1" t="s">
        <v>350</v>
      </c>
      <c r="JR1" t="s">
        <v>351</v>
      </c>
      <c r="JS1" t="s">
        <v>352</v>
      </c>
      <c r="JT1" t="s">
        <v>353</v>
      </c>
      <c r="JU1" t="s">
        <v>354</v>
      </c>
      <c r="JV1" t="s">
        <v>355</v>
      </c>
      <c r="JW1" t="s">
        <v>356</v>
      </c>
      <c r="JX1" t="s">
        <v>357</v>
      </c>
      <c r="JY1" t="s">
        <v>358</v>
      </c>
      <c r="JZ1" t="s">
        <v>359</v>
      </c>
      <c r="KA1" t="s">
        <v>360</v>
      </c>
      <c r="KB1" t="s">
        <v>361</v>
      </c>
      <c r="KC1" t="s">
        <v>362</v>
      </c>
      <c r="KD1" t="s">
        <v>363</v>
      </c>
      <c r="KE1" t="s">
        <v>364</v>
      </c>
      <c r="KF1" t="s">
        <v>365</v>
      </c>
      <c r="KG1" t="s">
        <v>366</v>
      </c>
      <c r="KH1" t="s">
        <v>367</v>
      </c>
      <c r="KI1" t="s">
        <v>368</v>
      </c>
      <c r="KJ1" t="s">
        <v>369</v>
      </c>
      <c r="KK1" t="s">
        <v>370</v>
      </c>
      <c r="KL1" t="s">
        <v>371</v>
      </c>
      <c r="KM1" t="s">
        <v>372</v>
      </c>
      <c r="KN1" t="s">
        <v>373</v>
      </c>
      <c r="KO1" t="s">
        <v>374</v>
      </c>
      <c r="KP1" t="s">
        <v>375</v>
      </c>
      <c r="KQ1" t="s">
        <v>376</v>
      </c>
      <c r="KR1" t="s">
        <v>377</v>
      </c>
      <c r="KS1" t="s">
        <v>378</v>
      </c>
      <c r="KT1" t="s">
        <v>379</v>
      </c>
      <c r="KU1" t="s">
        <v>380</v>
      </c>
      <c r="KV1" t="s">
        <v>381</v>
      </c>
      <c r="KW1" t="s">
        <v>382</v>
      </c>
      <c r="KX1" t="s">
        <v>383</v>
      </c>
      <c r="KY1" t="s">
        <v>384</v>
      </c>
      <c r="KZ1" t="s">
        <v>385</v>
      </c>
      <c r="LA1" t="s">
        <v>386</v>
      </c>
      <c r="LB1" t="s">
        <v>387</v>
      </c>
      <c r="LC1" t="s">
        <v>388</v>
      </c>
      <c r="LD1" t="s">
        <v>389</v>
      </c>
      <c r="LE1" t="s">
        <v>390</v>
      </c>
      <c r="LF1" t="s">
        <v>391</v>
      </c>
      <c r="LG1" t="s">
        <v>392</v>
      </c>
      <c r="LH1" t="s">
        <v>393</v>
      </c>
      <c r="LI1" t="s">
        <v>394</v>
      </c>
      <c r="LJ1" t="s">
        <v>395</v>
      </c>
      <c r="LK1" t="s">
        <v>396</v>
      </c>
      <c r="LL1" t="s">
        <v>397</v>
      </c>
      <c r="LM1" t="s">
        <v>398</v>
      </c>
      <c r="LN1" t="s">
        <v>399</v>
      </c>
      <c r="LO1" t="s">
        <v>400</v>
      </c>
      <c r="LP1" t="s">
        <v>401</v>
      </c>
      <c r="LQ1" t="s">
        <v>402</v>
      </c>
      <c r="LR1" t="s">
        <v>403</v>
      </c>
      <c r="LS1" t="s">
        <v>404</v>
      </c>
      <c r="LT1" t="s">
        <v>405</v>
      </c>
      <c r="LU1" t="s">
        <v>406</v>
      </c>
      <c r="LV1" t="s">
        <v>407</v>
      </c>
      <c r="LW1" t="s">
        <v>408</v>
      </c>
      <c r="LX1" t="s">
        <v>409</v>
      </c>
      <c r="LY1" t="s">
        <v>410</v>
      </c>
      <c r="LZ1" t="s">
        <v>411</v>
      </c>
      <c r="MA1" t="s">
        <v>412</v>
      </c>
      <c r="MB1" t="s">
        <v>413</v>
      </c>
      <c r="MC1" t="s">
        <v>414</v>
      </c>
      <c r="MD1" t="s">
        <v>415</v>
      </c>
      <c r="ME1" t="s">
        <v>416</v>
      </c>
      <c r="MF1" t="s">
        <v>417</v>
      </c>
      <c r="MG1" t="s">
        <v>418</v>
      </c>
      <c r="MH1" t="s">
        <v>419</v>
      </c>
      <c r="MI1" t="s">
        <v>420</v>
      </c>
      <c r="MJ1" t="s">
        <v>421</v>
      </c>
      <c r="MK1" t="s">
        <v>422</v>
      </c>
      <c r="ML1" t="s">
        <v>423</v>
      </c>
      <c r="MM1" t="s">
        <v>424</v>
      </c>
      <c r="MN1" t="s">
        <v>425</v>
      </c>
      <c r="MO1" t="s">
        <v>426</v>
      </c>
      <c r="MP1" t="s">
        <v>427</v>
      </c>
      <c r="MQ1" t="s">
        <v>428</v>
      </c>
      <c r="MR1" t="s">
        <v>429</v>
      </c>
      <c r="MS1" t="s">
        <v>430</v>
      </c>
      <c r="MT1" t="s">
        <v>431</v>
      </c>
      <c r="MU1" t="s">
        <v>432</v>
      </c>
      <c r="MV1" t="s">
        <v>433</v>
      </c>
      <c r="MW1" t="s">
        <v>434</v>
      </c>
      <c r="MX1" t="s">
        <v>435</v>
      </c>
      <c r="MY1" t="s">
        <v>436</v>
      </c>
      <c r="MZ1" t="s">
        <v>437</v>
      </c>
      <c r="NA1" t="s">
        <v>438</v>
      </c>
      <c r="NB1" t="s">
        <v>439</v>
      </c>
      <c r="NC1" t="s">
        <v>440</v>
      </c>
      <c r="ND1" t="s">
        <v>441</v>
      </c>
      <c r="NE1" t="s">
        <v>442</v>
      </c>
      <c r="NF1" t="s">
        <v>443</v>
      </c>
      <c r="NG1" t="s">
        <v>444</v>
      </c>
      <c r="NH1" t="s">
        <v>445</v>
      </c>
      <c r="NI1" t="s">
        <v>446</v>
      </c>
      <c r="NJ1" t="s">
        <v>447</v>
      </c>
      <c r="NK1" t="s">
        <v>448</v>
      </c>
      <c r="NL1" t="s">
        <v>449</v>
      </c>
      <c r="NM1" t="s">
        <v>450</v>
      </c>
      <c r="NN1" t="s">
        <v>451</v>
      </c>
      <c r="NO1" t="s">
        <v>452</v>
      </c>
      <c r="NP1" t="s">
        <v>453</v>
      </c>
      <c r="NQ1" t="s">
        <v>454</v>
      </c>
      <c r="NR1" t="s">
        <v>455</v>
      </c>
      <c r="NS1" t="s">
        <v>456</v>
      </c>
      <c r="NT1" t="s">
        <v>457</v>
      </c>
      <c r="NU1" t="s">
        <v>458</v>
      </c>
      <c r="NV1" t="s">
        <v>459</v>
      </c>
      <c r="NW1" t="s">
        <v>460</v>
      </c>
      <c r="NX1" t="s">
        <v>461</v>
      </c>
      <c r="NY1" t="s">
        <v>462</v>
      </c>
      <c r="NZ1" t="s">
        <v>463</v>
      </c>
      <c r="OA1" t="s">
        <v>464</v>
      </c>
      <c r="OB1" t="s">
        <v>465</v>
      </c>
      <c r="OC1" t="s">
        <v>466</v>
      </c>
      <c r="OD1" t="s">
        <v>467</v>
      </c>
      <c r="OE1" t="s">
        <v>468</v>
      </c>
      <c r="OF1" t="s">
        <v>469</v>
      </c>
      <c r="OG1" t="s">
        <v>470</v>
      </c>
      <c r="OH1" t="s">
        <v>471</v>
      </c>
      <c r="OI1" t="s">
        <v>472</v>
      </c>
      <c r="OJ1" t="s">
        <v>473</v>
      </c>
      <c r="OK1" t="s">
        <v>474</v>
      </c>
      <c r="OL1" t="s">
        <v>475</v>
      </c>
      <c r="OM1" t="s">
        <v>476</v>
      </c>
      <c r="ON1" t="s">
        <v>477</v>
      </c>
      <c r="OO1" t="s">
        <v>478</v>
      </c>
      <c r="OP1" t="s">
        <v>479</v>
      </c>
      <c r="OQ1" t="s">
        <v>480</v>
      </c>
      <c r="OR1" t="s">
        <v>481</v>
      </c>
      <c r="OS1" t="s">
        <v>482</v>
      </c>
      <c r="OT1" t="s">
        <v>483</v>
      </c>
      <c r="OU1" t="s">
        <v>484</v>
      </c>
      <c r="OV1" t="s">
        <v>485</v>
      </c>
      <c r="OW1" t="s">
        <v>486</v>
      </c>
      <c r="OX1" t="s">
        <v>487</v>
      </c>
      <c r="OY1" t="s">
        <v>488</v>
      </c>
      <c r="OZ1" t="s">
        <v>489</v>
      </c>
      <c r="PA1" t="s">
        <v>490</v>
      </c>
      <c r="PB1" t="s">
        <v>491</v>
      </c>
      <c r="PC1" t="s">
        <v>492</v>
      </c>
      <c r="PD1" t="s">
        <v>493</v>
      </c>
      <c r="PE1" t="s">
        <v>494</v>
      </c>
      <c r="PF1" t="s">
        <v>495</v>
      </c>
      <c r="PG1" t="s">
        <v>496</v>
      </c>
      <c r="PH1" t="s">
        <v>497</v>
      </c>
      <c r="PI1" t="s">
        <v>498</v>
      </c>
      <c r="PJ1" t="s">
        <v>499</v>
      </c>
      <c r="PK1" t="s">
        <v>500</v>
      </c>
      <c r="PL1" t="s">
        <v>501</v>
      </c>
      <c r="PM1" t="s">
        <v>502</v>
      </c>
      <c r="PN1" t="s">
        <v>503</v>
      </c>
      <c r="PO1" t="s">
        <v>504</v>
      </c>
      <c r="PP1" t="s">
        <v>505</v>
      </c>
      <c r="PQ1" t="s">
        <v>506</v>
      </c>
      <c r="PR1" t="s">
        <v>507</v>
      </c>
      <c r="PS1" t="s">
        <v>508</v>
      </c>
      <c r="PT1" t="s">
        <v>509</v>
      </c>
      <c r="PU1" t="s">
        <v>510</v>
      </c>
      <c r="PV1" t="s">
        <v>511</v>
      </c>
      <c r="PW1" t="s">
        <v>512</v>
      </c>
      <c r="PX1" t="s">
        <v>513</v>
      </c>
      <c r="PY1" t="s">
        <v>514</v>
      </c>
      <c r="PZ1" t="s">
        <v>515</v>
      </c>
      <c r="QA1" t="s">
        <v>516</v>
      </c>
      <c r="QB1" t="s">
        <v>517</v>
      </c>
      <c r="QC1" t="s">
        <v>518</v>
      </c>
      <c r="QD1" t="s">
        <v>519</v>
      </c>
      <c r="QE1" t="s">
        <v>520</v>
      </c>
      <c r="QF1" t="s">
        <v>521</v>
      </c>
      <c r="QG1" t="s">
        <v>522</v>
      </c>
      <c r="QH1" t="s">
        <v>523</v>
      </c>
      <c r="QI1" t="s">
        <v>524</v>
      </c>
      <c r="QJ1" t="s">
        <v>525</v>
      </c>
      <c r="QK1" t="s">
        <v>526</v>
      </c>
      <c r="QL1" t="s">
        <v>527</v>
      </c>
      <c r="QM1" t="s">
        <v>528</v>
      </c>
      <c r="QN1" t="s">
        <v>529</v>
      </c>
      <c r="QO1" t="s">
        <v>530</v>
      </c>
      <c r="QP1" t="s">
        <v>531</v>
      </c>
      <c r="QQ1" t="s">
        <v>532</v>
      </c>
      <c r="QR1" t="s">
        <v>533</v>
      </c>
      <c r="QS1" t="s">
        <v>534</v>
      </c>
      <c r="QT1" t="s">
        <v>535</v>
      </c>
      <c r="QU1" t="s">
        <v>536</v>
      </c>
      <c r="QV1" t="s">
        <v>537</v>
      </c>
      <c r="QW1" t="s">
        <v>538</v>
      </c>
      <c r="QX1" t="s">
        <v>539</v>
      </c>
      <c r="QY1" t="s">
        <v>540</v>
      </c>
      <c r="QZ1" t="s">
        <v>541</v>
      </c>
      <c r="RA1" t="s">
        <v>542</v>
      </c>
      <c r="RB1" t="s">
        <v>543</v>
      </c>
      <c r="RC1" t="s">
        <v>544</v>
      </c>
      <c r="RD1" t="s">
        <v>545</v>
      </c>
      <c r="RE1" t="s">
        <v>546</v>
      </c>
      <c r="RF1" t="s">
        <v>547</v>
      </c>
      <c r="RG1" t="s">
        <v>548</v>
      </c>
      <c r="RH1" t="s">
        <v>549</v>
      </c>
      <c r="RI1" t="s">
        <v>550</v>
      </c>
      <c r="RJ1" t="s">
        <v>551</v>
      </c>
      <c r="RK1" t="s">
        <v>552</v>
      </c>
      <c r="RL1" t="s">
        <v>553</v>
      </c>
      <c r="RM1" t="s">
        <v>554</v>
      </c>
      <c r="RN1" t="s">
        <v>555</v>
      </c>
      <c r="RO1" t="s">
        <v>556</v>
      </c>
      <c r="RP1" t="s">
        <v>557</v>
      </c>
      <c r="RQ1" t="s">
        <v>558</v>
      </c>
      <c r="RR1" t="s">
        <v>559</v>
      </c>
      <c r="RS1" t="s">
        <v>560</v>
      </c>
      <c r="RT1" t="s">
        <v>561</v>
      </c>
      <c r="RU1" t="s">
        <v>562</v>
      </c>
      <c r="RV1" t="s">
        <v>563</v>
      </c>
      <c r="RW1" t="s">
        <v>564</v>
      </c>
      <c r="RX1" t="s">
        <v>565</v>
      </c>
      <c r="RY1" t="s">
        <v>566</v>
      </c>
      <c r="RZ1" t="s">
        <v>567</v>
      </c>
      <c r="SA1" t="s">
        <v>568</v>
      </c>
      <c r="SB1" t="s">
        <v>569</v>
      </c>
      <c r="SC1" t="s">
        <v>570</v>
      </c>
      <c r="SD1" t="s">
        <v>571</v>
      </c>
      <c r="SE1" t="s">
        <v>572</v>
      </c>
      <c r="SF1" t="s">
        <v>573</v>
      </c>
      <c r="SG1" t="s">
        <v>574</v>
      </c>
      <c r="SH1" t="s">
        <v>575</v>
      </c>
      <c r="SI1" t="s">
        <v>576</v>
      </c>
      <c r="SJ1" t="s">
        <v>577</v>
      </c>
      <c r="SK1" t="s">
        <v>578</v>
      </c>
      <c r="SL1" t="s">
        <v>579</v>
      </c>
      <c r="SM1" t="s">
        <v>580</v>
      </c>
      <c r="SN1" t="s">
        <v>581</v>
      </c>
      <c r="SO1" t="s">
        <v>582</v>
      </c>
      <c r="SP1" t="s">
        <v>583</v>
      </c>
      <c r="SQ1" t="s">
        <v>584</v>
      </c>
      <c r="SR1" t="s">
        <v>585</v>
      </c>
      <c r="SS1" t="s">
        <v>586</v>
      </c>
      <c r="ST1" t="s">
        <v>587</v>
      </c>
      <c r="SU1" t="s">
        <v>588</v>
      </c>
      <c r="SV1" t="s">
        <v>589</v>
      </c>
      <c r="SW1" t="s">
        <v>590</v>
      </c>
      <c r="SX1" t="s">
        <v>591</v>
      </c>
      <c r="SY1" t="s">
        <v>592</v>
      </c>
      <c r="SZ1" t="s">
        <v>593</v>
      </c>
      <c r="TA1" t="s">
        <v>594</v>
      </c>
      <c r="TB1" t="s">
        <v>595</v>
      </c>
      <c r="TC1" t="s">
        <v>596</v>
      </c>
      <c r="TD1" t="s">
        <v>597</v>
      </c>
      <c r="TE1" t="s">
        <v>598</v>
      </c>
      <c r="TF1" t="s">
        <v>599</v>
      </c>
      <c r="TG1" t="s">
        <v>600</v>
      </c>
      <c r="TH1" t="s">
        <v>601</v>
      </c>
      <c r="TI1" t="s">
        <v>602</v>
      </c>
      <c r="TJ1" t="s">
        <v>603</v>
      </c>
      <c r="TK1" t="s">
        <v>604</v>
      </c>
      <c r="TL1" t="s">
        <v>605</v>
      </c>
      <c r="TM1" t="s">
        <v>606</v>
      </c>
      <c r="TN1" t="s">
        <v>607</v>
      </c>
      <c r="TO1" t="s">
        <v>608</v>
      </c>
      <c r="TP1" t="s">
        <v>609</v>
      </c>
      <c r="TQ1" t="s">
        <v>610</v>
      </c>
      <c r="TR1" t="s">
        <v>611</v>
      </c>
      <c r="TS1" t="s">
        <v>612</v>
      </c>
      <c r="TT1" t="s">
        <v>613</v>
      </c>
      <c r="TU1" t="s">
        <v>614</v>
      </c>
      <c r="TV1" t="s">
        <v>615</v>
      </c>
      <c r="TW1" t="s">
        <v>616</v>
      </c>
      <c r="TX1" t="s">
        <v>617</v>
      </c>
      <c r="TY1" t="s">
        <v>618</v>
      </c>
      <c r="TZ1" t="s">
        <v>619</v>
      </c>
      <c r="UA1" t="s">
        <v>620</v>
      </c>
      <c r="UB1" t="s">
        <v>621</v>
      </c>
      <c r="UC1" t="s">
        <v>622</v>
      </c>
      <c r="UD1" t="s">
        <v>623</v>
      </c>
      <c r="UE1" t="s">
        <v>624</v>
      </c>
      <c r="UF1" t="s">
        <v>625</v>
      </c>
      <c r="UG1" t="s">
        <v>626</v>
      </c>
      <c r="UH1" t="s">
        <v>627</v>
      </c>
      <c r="UI1" t="s">
        <v>628</v>
      </c>
      <c r="UJ1" t="s">
        <v>629</v>
      </c>
      <c r="UK1" t="s">
        <v>630</v>
      </c>
      <c r="UL1" t="s">
        <v>631</v>
      </c>
      <c r="UM1" t="s">
        <v>632</v>
      </c>
      <c r="UN1" t="s">
        <v>633</v>
      </c>
      <c r="UO1" t="s">
        <v>634</v>
      </c>
      <c r="UP1" t="s">
        <v>635</v>
      </c>
      <c r="UQ1" t="s">
        <v>636</v>
      </c>
      <c r="UR1" t="s">
        <v>637</v>
      </c>
      <c r="US1" t="s">
        <v>638</v>
      </c>
      <c r="UT1" t="s">
        <v>639</v>
      </c>
      <c r="UU1" t="s">
        <v>640</v>
      </c>
      <c r="UV1" t="s">
        <v>641</v>
      </c>
      <c r="UW1" t="s">
        <v>642</v>
      </c>
      <c r="UX1" t="s">
        <v>643</v>
      </c>
      <c r="UY1" t="s">
        <v>644</v>
      </c>
      <c r="UZ1" t="s">
        <v>645</v>
      </c>
      <c r="VA1" t="s">
        <v>646</v>
      </c>
      <c r="VB1" t="s">
        <v>647</v>
      </c>
      <c r="VC1" t="s">
        <v>648</v>
      </c>
      <c r="VD1" t="s">
        <v>649</v>
      </c>
      <c r="VE1" t="s">
        <v>650</v>
      </c>
      <c r="VF1" t="s">
        <v>651</v>
      </c>
      <c r="VG1" t="s">
        <v>652</v>
      </c>
      <c r="VH1" t="s">
        <v>653</v>
      </c>
      <c r="VI1" t="s">
        <v>654</v>
      </c>
      <c r="VJ1" t="s">
        <v>655</v>
      </c>
      <c r="VK1" t="s">
        <v>656</v>
      </c>
      <c r="VL1" t="s">
        <v>657</v>
      </c>
      <c r="VM1" t="s">
        <v>658</v>
      </c>
      <c r="VN1" t="s">
        <v>659</v>
      </c>
      <c r="VO1" t="s">
        <v>660</v>
      </c>
      <c r="VP1" t="s">
        <v>661</v>
      </c>
      <c r="VQ1" t="s">
        <v>662</v>
      </c>
      <c r="VR1" t="s">
        <v>663</v>
      </c>
      <c r="VS1" t="s">
        <v>664</v>
      </c>
      <c r="VT1" t="s">
        <v>665</v>
      </c>
      <c r="VU1" t="s">
        <v>666</v>
      </c>
      <c r="VV1" t="s">
        <v>667</v>
      </c>
      <c r="VW1" t="s">
        <v>668</v>
      </c>
      <c r="VX1" t="s">
        <v>669</v>
      </c>
      <c r="VY1" t="s">
        <v>670</v>
      </c>
      <c r="VZ1" t="s">
        <v>671</v>
      </c>
      <c r="WA1" t="s">
        <v>672</v>
      </c>
      <c r="WB1" t="s">
        <v>673</v>
      </c>
      <c r="WC1" t="s">
        <v>674</v>
      </c>
      <c r="WD1" t="s">
        <v>675</v>
      </c>
      <c r="WE1" t="s">
        <v>676</v>
      </c>
      <c r="WF1" t="s">
        <v>677</v>
      </c>
      <c r="WG1" t="s">
        <v>678</v>
      </c>
      <c r="WH1" t="s">
        <v>679</v>
      </c>
      <c r="WI1" t="s">
        <v>680</v>
      </c>
      <c r="WJ1" t="s">
        <v>681</v>
      </c>
      <c r="WK1" t="s">
        <v>682</v>
      </c>
      <c r="WL1" t="s">
        <v>683</v>
      </c>
      <c r="WM1" t="s">
        <v>684</v>
      </c>
      <c r="WN1" t="s">
        <v>685</v>
      </c>
      <c r="WO1" t="s">
        <v>686</v>
      </c>
      <c r="WP1" t="s">
        <v>687</v>
      </c>
      <c r="WQ1" t="s">
        <v>688</v>
      </c>
      <c r="WR1" t="s">
        <v>689</v>
      </c>
      <c r="WS1" t="s">
        <v>690</v>
      </c>
      <c r="WT1" t="s">
        <v>691</v>
      </c>
      <c r="WU1" t="s">
        <v>692</v>
      </c>
      <c r="WV1" t="s">
        <v>693</v>
      </c>
      <c r="WW1" t="s">
        <v>694</v>
      </c>
      <c r="WX1" t="s">
        <v>695</v>
      </c>
      <c r="WY1" t="s">
        <v>696</v>
      </c>
      <c r="WZ1" t="s">
        <v>697</v>
      </c>
      <c r="XA1" t="s">
        <v>698</v>
      </c>
      <c r="XB1" t="s">
        <v>699</v>
      </c>
      <c r="XC1" t="s">
        <v>700</v>
      </c>
      <c r="XD1" t="s">
        <v>701</v>
      </c>
      <c r="XE1" t="s">
        <v>702</v>
      </c>
      <c r="XF1" t="s">
        <v>703</v>
      </c>
      <c r="XG1" t="s">
        <v>704</v>
      </c>
      <c r="XH1" t="s">
        <v>705</v>
      </c>
      <c r="XI1" t="s">
        <v>706</v>
      </c>
      <c r="XJ1" t="s">
        <v>707</v>
      </c>
      <c r="XK1" t="s">
        <v>708</v>
      </c>
      <c r="XL1" t="s">
        <v>709</v>
      </c>
      <c r="XM1" t="s">
        <v>710</v>
      </c>
      <c r="XN1" t="s">
        <v>711</v>
      </c>
      <c r="XO1" t="s">
        <v>712</v>
      </c>
      <c r="XP1" t="s">
        <v>713</v>
      </c>
      <c r="XQ1" t="s">
        <v>714</v>
      </c>
      <c r="XR1" t="s">
        <v>715</v>
      </c>
      <c r="XS1" t="s">
        <v>716</v>
      </c>
      <c r="XT1" t="s">
        <v>717</v>
      </c>
      <c r="XU1" t="s">
        <v>718</v>
      </c>
      <c r="XV1" t="s">
        <v>719</v>
      </c>
      <c r="XW1" t="s">
        <v>720</v>
      </c>
      <c r="XX1" t="s">
        <v>721</v>
      </c>
      <c r="XY1" t="s">
        <v>722</v>
      </c>
      <c r="XZ1" t="s">
        <v>723</v>
      </c>
      <c r="YA1" t="s">
        <v>724</v>
      </c>
      <c r="YB1" t="s">
        <v>725</v>
      </c>
      <c r="YC1" t="s">
        <v>726</v>
      </c>
      <c r="YD1" t="s">
        <v>727</v>
      </c>
      <c r="YE1" t="s">
        <v>728</v>
      </c>
      <c r="YF1" t="s">
        <v>729</v>
      </c>
      <c r="YG1" t="s">
        <v>730</v>
      </c>
      <c r="YH1" t="s">
        <v>731</v>
      </c>
      <c r="YI1" t="s">
        <v>732</v>
      </c>
      <c r="YJ1" t="s">
        <v>733</v>
      </c>
      <c r="YK1" t="s">
        <v>734</v>
      </c>
      <c r="YL1" t="s">
        <v>735</v>
      </c>
      <c r="YM1" t="s">
        <v>736</v>
      </c>
      <c r="YN1" t="s">
        <v>737</v>
      </c>
      <c r="YO1" t="s">
        <v>738</v>
      </c>
      <c r="YP1" t="s">
        <v>739</v>
      </c>
      <c r="YQ1" t="s">
        <v>740</v>
      </c>
      <c r="YR1" t="s">
        <v>741</v>
      </c>
      <c r="YS1" t="s">
        <v>742</v>
      </c>
      <c r="YT1" t="s">
        <v>743</v>
      </c>
      <c r="YU1" t="s">
        <v>744</v>
      </c>
      <c r="YV1" t="s">
        <v>745</v>
      </c>
      <c r="YW1" t="s">
        <v>746</v>
      </c>
      <c r="YX1" t="s">
        <v>747</v>
      </c>
      <c r="YY1" t="s">
        <v>748</v>
      </c>
      <c r="YZ1" t="s">
        <v>749</v>
      </c>
      <c r="ZA1" t="s">
        <v>750</v>
      </c>
      <c r="ZB1" t="s">
        <v>751</v>
      </c>
      <c r="ZC1" t="s">
        <v>752</v>
      </c>
      <c r="ZD1" t="s">
        <v>753</v>
      </c>
      <c r="ZE1" t="s">
        <v>754</v>
      </c>
      <c r="ZF1" t="s">
        <v>755</v>
      </c>
      <c r="ZG1" t="s">
        <v>756</v>
      </c>
      <c r="ZH1" t="s">
        <v>757</v>
      </c>
      <c r="ZI1" t="s">
        <v>758</v>
      </c>
      <c r="ZJ1" t="s">
        <v>759</v>
      </c>
      <c r="ZK1" t="s">
        <v>760</v>
      </c>
      <c r="ZL1" t="s">
        <v>761</v>
      </c>
      <c r="ZM1" t="s">
        <v>762</v>
      </c>
      <c r="ZN1" t="s">
        <v>763</v>
      </c>
      <c r="ZO1" t="s">
        <v>764</v>
      </c>
      <c r="ZP1" t="s">
        <v>765</v>
      </c>
      <c r="ZQ1" t="s">
        <v>766</v>
      </c>
      <c r="ZR1" t="s">
        <v>767</v>
      </c>
      <c r="ZS1" t="s">
        <v>768</v>
      </c>
      <c r="ZT1" t="s">
        <v>769</v>
      </c>
      <c r="ZU1" t="s">
        <v>770</v>
      </c>
      <c r="ZV1" t="s">
        <v>771</v>
      </c>
      <c r="ZW1" t="s">
        <v>772</v>
      </c>
      <c r="ZX1" t="s">
        <v>773</v>
      </c>
      <c r="ZY1" t="s">
        <v>774</v>
      </c>
      <c r="ZZ1" t="s">
        <v>775</v>
      </c>
      <c r="AAA1" t="s">
        <v>776</v>
      </c>
      <c r="AAB1" t="s">
        <v>777</v>
      </c>
      <c r="AAC1" t="s">
        <v>778</v>
      </c>
      <c r="AAD1" t="s">
        <v>779</v>
      </c>
      <c r="AAE1" t="s">
        <v>780</v>
      </c>
      <c r="AAF1" t="s">
        <v>781</v>
      </c>
      <c r="AAG1" t="s">
        <v>782</v>
      </c>
      <c r="AAH1" t="s">
        <v>783</v>
      </c>
      <c r="AAI1" t="s">
        <v>784</v>
      </c>
      <c r="AAJ1" t="s">
        <v>785</v>
      </c>
      <c r="AAK1" t="s">
        <v>786</v>
      </c>
      <c r="AAL1" t="s">
        <v>787</v>
      </c>
      <c r="AAM1" t="s">
        <v>788</v>
      </c>
      <c r="AAN1" t="s">
        <v>789</v>
      </c>
      <c r="AAO1" t="s">
        <v>790</v>
      </c>
      <c r="AAP1" t="s">
        <v>791</v>
      </c>
      <c r="AAQ1" t="s">
        <v>792</v>
      </c>
      <c r="AAR1" t="s">
        <v>793</v>
      </c>
      <c r="AAS1" t="s">
        <v>794</v>
      </c>
      <c r="AAT1" t="s">
        <v>795</v>
      </c>
      <c r="AAU1" t="s">
        <v>796</v>
      </c>
      <c r="AAV1" t="s">
        <v>797</v>
      </c>
      <c r="AAW1" t="s">
        <v>798</v>
      </c>
      <c r="AAX1" t="s">
        <v>799</v>
      </c>
      <c r="AAY1" t="s">
        <v>800</v>
      </c>
      <c r="AAZ1" t="s">
        <v>801</v>
      </c>
      <c r="ABA1" t="s">
        <v>802</v>
      </c>
      <c r="ABB1" t="s">
        <v>803</v>
      </c>
      <c r="ABC1" t="s">
        <v>804</v>
      </c>
      <c r="ABD1" t="s">
        <v>805</v>
      </c>
      <c r="ABE1" t="s">
        <v>806</v>
      </c>
      <c r="ABF1" t="s">
        <v>807</v>
      </c>
      <c r="ABG1" t="s">
        <v>808</v>
      </c>
      <c r="ABH1" t="s">
        <v>809</v>
      </c>
      <c r="ABI1" t="s">
        <v>810</v>
      </c>
      <c r="ABJ1" t="s">
        <v>811</v>
      </c>
      <c r="ABK1" t="s">
        <v>812</v>
      </c>
      <c r="ABL1" t="s">
        <v>813</v>
      </c>
      <c r="ABM1" t="s">
        <v>814</v>
      </c>
      <c r="ABN1" t="s">
        <v>815</v>
      </c>
      <c r="ABO1" t="s">
        <v>816</v>
      </c>
      <c r="ABP1" t="s">
        <v>817</v>
      </c>
      <c r="ABQ1" t="s">
        <v>818</v>
      </c>
      <c r="ABR1" t="s">
        <v>819</v>
      </c>
      <c r="ABS1" t="s">
        <v>820</v>
      </c>
      <c r="ABT1" t="s">
        <v>821</v>
      </c>
      <c r="ABU1" t="s">
        <v>822</v>
      </c>
      <c r="ABV1" t="s">
        <v>823</v>
      </c>
      <c r="ABW1" t="s">
        <v>824</v>
      </c>
      <c r="ABX1" t="s">
        <v>825</v>
      </c>
      <c r="ABY1" t="s">
        <v>826</v>
      </c>
      <c r="ABZ1" t="s">
        <v>827</v>
      </c>
      <c r="ACA1" t="s">
        <v>828</v>
      </c>
      <c r="ACB1" t="s">
        <v>829</v>
      </c>
      <c r="ACC1" t="s">
        <v>830</v>
      </c>
      <c r="ACD1" t="s">
        <v>831</v>
      </c>
      <c r="ACE1" t="s">
        <v>832</v>
      </c>
      <c r="ACF1" t="s">
        <v>833</v>
      </c>
      <c r="ACG1" t="s">
        <v>834</v>
      </c>
      <c r="ACH1" t="s">
        <v>835</v>
      </c>
      <c r="ACI1" t="s">
        <v>836</v>
      </c>
      <c r="ACJ1" t="s">
        <v>837</v>
      </c>
      <c r="ACK1" t="s">
        <v>838</v>
      </c>
      <c r="ACL1" t="s">
        <v>839</v>
      </c>
      <c r="ACM1" t="s">
        <v>840</v>
      </c>
      <c r="ACN1" t="s">
        <v>841</v>
      </c>
      <c r="ACO1" t="s">
        <v>842</v>
      </c>
      <c r="ACP1" t="s">
        <v>843</v>
      </c>
      <c r="ACQ1" t="s">
        <v>844</v>
      </c>
      <c r="ACR1" t="s">
        <v>845</v>
      </c>
      <c r="ACS1" t="s">
        <v>846</v>
      </c>
      <c r="ACT1" t="s">
        <v>847</v>
      </c>
      <c r="ACU1" t="s">
        <v>848</v>
      </c>
      <c r="ACV1" t="s">
        <v>849</v>
      </c>
      <c r="ACW1" t="s">
        <v>850</v>
      </c>
      <c r="ACX1" t="s">
        <v>851</v>
      </c>
      <c r="ACY1" t="s">
        <v>852</v>
      </c>
      <c r="ACZ1" t="s">
        <v>853</v>
      </c>
      <c r="ADA1" t="s">
        <v>854</v>
      </c>
      <c r="ADB1" t="s">
        <v>855</v>
      </c>
      <c r="ADC1" t="s">
        <v>856</v>
      </c>
      <c r="ADD1" t="s">
        <v>857</v>
      </c>
      <c r="ADE1" t="s">
        <v>858</v>
      </c>
      <c r="ADF1" t="s">
        <v>859</v>
      </c>
      <c r="ADG1" t="s">
        <v>860</v>
      </c>
      <c r="ADH1" t="s">
        <v>861</v>
      </c>
      <c r="ADI1" t="s">
        <v>862</v>
      </c>
      <c r="ADJ1" t="s">
        <v>863</v>
      </c>
      <c r="ADK1" t="s">
        <v>864</v>
      </c>
      <c r="ADL1" t="s">
        <v>865</v>
      </c>
      <c r="ADM1" t="s">
        <v>866</v>
      </c>
      <c r="ADN1" t="s">
        <v>867</v>
      </c>
      <c r="ADO1" t="s">
        <v>868</v>
      </c>
      <c r="ADP1" t="s">
        <v>869</v>
      </c>
      <c r="ADQ1" t="s">
        <v>870</v>
      </c>
      <c r="ADR1" t="s">
        <v>871</v>
      </c>
      <c r="ADS1" t="s">
        <v>872</v>
      </c>
      <c r="ADT1" t="s">
        <v>873</v>
      </c>
      <c r="ADU1" t="s">
        <v>874</v>
      </c>
      <c r="ADV1" t="s">
        <v>875</v>
      </c>
      <c r="ADW1" t="s">
        <v>876</v>
      </c>
      <c r="ADX1" t="s">
        <v>877</v>
      </c>
      <c r="ADY1" t="s">
        <v>878</v>
      </c>
      <c r="ADZ1" t="s">
        <v>879</v>
      </c>
      <c r="AEA1" t="s">
        <v>880</v>
      </c>
      <c r="AEB1" t="s">
        <v>881</v>
      </c>
      <c r="AEC1" t="s">
        <v>882</v>
      </c>
      <c r="AED1" t="s">
        <v>883</v>
      </c>
      <c r="AEE1" t="s">
        <v>884</v>
      </c>
      <c r="AEF1" t="s">
        <v>885</v>
      </c>
      <c r="AEG1" t="s">
        <v>886</v>
      </c>
      <c r="AEH1" t="s">
        <v>887</v>
      </c>
      <c r="AEI1" t="s">
        <v>888</v>
      </c>
      <c r="AEJ1" t="s">
        <v>889</v>
      </c>
      <c r="AEK1" t="s">
        <v>890</v>
      </c>
      <c r="AEL1" t="s">
        <v>891</v>
      </c>
      <c r="AEM1" t="s">
        <v>892</v>
      </c>
      <c r="AEN1" t="s">
        <v>893</v>
      </c>
      <c r="AEO1" t="s">
        <v>894</v>
      </c>
      <c r="AEP1" t="s">
        <v>895</v>
      </c>
      <c r="AEQ1" t="s">
        <v>896</v>
      </c>
      <c r="AER1" t="s">
        <v>897</v>
      </c>
      <c r="AES1" t="s">
        <v>898</v>
      </c>
      <c r="AET1" t="s">
        <v>899</v>
      </c>
      <c r="AEU1" t="s">
        <v>900</v>
      </c>
      <c r="AEV1" t="s">
        <v>901</v>
      </c>
      <c r="AEW1" t="s">
        <v>902</v>
      </c>
      <c r="AEX1" t="s">
        <v>903</v>
      </c>
      <c r="AEY1" t="s">
        <v>904</v>
      </c>
      <c r="AEZ1" t="s">
        <v>905</v>
      </c>
      <c r="AFA1" t="s">
        <v>906</v>
      </c>
      <c r="AFB1" t="s">
        <v>907</v>
      </c>
      <c r="AFC1" t="s">
        <v>908</v>
      </c>
      <c r="AFD1" t="s">
        <v>909</v>
      </c>
      <c r="AFE1" t="s">
        <v>910</v>
      </c>
      <c r="AFF1" t="s">
        <v>911</v>
      </c>
      <c r="AFG1" t="s">
        <v>912</v>
      </c>
      <c r="AFH1" t="s">
        <v>913</v>
      </c>
      <c r="AFI1" t="s">
        <v>914</v>
      </c>
      <c r="AFJ1" t="s">
        <v>915</v>
      </c>
      <c r="AFK1" t="s">
        <v>916</v>
      </c>
      <c r="AFL1" t="s">
        <v>917</v>
      </c>
      <c r="AFM1" t="s">
        <v>918</v>
      </c>
      <c r="AFN1" t="s">
        <v>919</v>
      </c>
      <c r="AFO1" t="s">
        <v>920</v>
      </c>
      <c r="AFP1" t="s">
        <v>921</v>
      </c>
      <c r="AFQ1" t="s">
        <v>922</v>
      </c>
      <c r="AFR1" t="s">
        <v>923</v>
      </c>
      <c r="AFS1" t="s">
        <v>924</v>
      </c>
      <c r="AFT1" t="s">
        <v>925</v>
      </c>
      <c r="AFU1" t="s">
        <v>926</v>
      </c>
      <c r="AFV1" t="s">
        <v>927</v>
      </c>
      <c r="AFW1" t="s">
        <v>928</v>
      </c>
      <c r="AFX1" t="s">
        <v>929</v>
      </c>
      <c r="AFY1" t="s">
        <v>930</v>
      </c>
      <c r="AFZ1" t="s">
        <v>931</v>
      </c>
      <c r="AGA1" t="s">
        <v>932</v>
      </c>
      <c r="AGB1" t="s">
        <v>933</v>
      </c>
      <c r="AGC1" t="s">
        <v>934</v>
      </c>
      <c r="AGD1" t="s">
        <v>935</v>
      </c>
      <c r="AGE1" t="s">
        <v>936</v>
      </c>
      <c r="AGF1" t="s">
        <v>937</v>
      </c>
      <c r="AGG1" t="s">
        <v>938</v>
      </c>
      <c r="AGH1" t="s">
        <v>939</v>
      </c>
      <c r="AGI1" t="s">
        <v>940</v>
      </c>
      <c r="AGJ1" t="s">
        <v>941</v>
      </c>
      <c r="AGK1" t="s">
        <v>942</v>
      </c>
      <c r="AGL1" t="s">
        <v>943</v>
      </c>
      <c r="AGM1" t="s">
        <v>944</v>
      </c>
      <c r="AGN1" t="s">
        <v>945</v>
      </c>
      <c r="AGO1" t="s">
        <v>946</v>
      </c>
      <c r="AGP1" t="s">
        <v>947</v>
      </c>
      <c r="AGQ1" t="s">
        <v>948</v>
      </c>
      <c r="AGR1" t="s">
        <v>949</v>
      </c>
      <c r="AGS1" t="s">
        <v>950</v>
      </c>
      <c r="AGT1" t="s">
        <v>951</v>
      </c>
      <c r="AGU1" t="s">
        <v>952</v>
      </c>
      <c r="AGV1" t="s">
        <v>953</v>
      </c>
      <c r="AGW1" t="s">
        <v>954</v>
      </c>
      <c r="AGX1" t="s">
        <v>955</v>
      </c>
      <c r="AGY1" t="s">
        <v>956</v>
      </c>
      <c r="AGZ1" t="s">
        <v>957</v>
      </c>
      <c r="AHA1" t="s">
        <v>958</v>
      </c>
      <c r="AHB1" t="s">
        <v>959</v>
      </c>
      <c r="AHC1" t="s">
        <v>960</v>
      </c>
      <c r="AHD1" t="s">
        <v>961</v>
      </c>
      <c r="AHE1" t="s">
        <v>962</v>
      </c>
      <c r="AHF1" t="s">
        <v>963</v>
      </c>
      <c r="AHG1" t="s">
        <v>964</v>
      </c>
      <c r="AHH1" t="s">
        <v>965</v>
      </c>
      <c r="AHI1" t="s">
        <v>966</v>
      </c>
      <c r="AHJ1" t="s">
        <v>967</v>
      </c>
      <c r="AHK1" t="s">
        <v>968</v>
      </c>
      <c r="AHL1" t="s">
        <v>969</v>
      </c>
      <c r="AHM1" t="s">
        <v>970</v>
      </c>
      <c r="AHN1" t="s">
        <v>971</v>
      </c>
      <c r="AHO1" t="s">
        <v>972</v>
      </c>
      <c r="AHP1" t="s">
        <v>973</v>
      </c>
      <c r="AHQ1" t="s">
        <v>974</v>
      </c>
      <c r="AHR1" t="s">
        <v>975</v>
      </c>
      <c r="AHS1" t="s">
        <v>976</v>
      </c>
      <c r="AHT1" t="s">
        <v>977</v>
      </c>
      <c r="AHU1" t="s">
        <v>978</v>
      </c>
      <c r="AHV1" t="s">
        <v>979</v>
      </c>
      <c r="AHW1" t="s">
        <v>980</v>
      </c>
      <c r="AHX1" t="s">
        <v>981</v>
      </c>
      <c r="AHY1" t="s">
        <v>982</v>
      </c>
      <c r="AHZ1" t="s">
        <v>983</v>
      </c>
      <c r="AIA1" t="s">
        <v>984</v>
      </c>
      <c r="AIB1" t="s">
        <v>985</v>
      </c>
      <c r="AIC1" t="s">
        <v>986</v>
      </c>
      <c r="AID1" t="s">
        <v>987</v>
      </c>
      <c r="AIE1" t="s">
        <v>988</v>
      </c>
      <c r="AIF1" t="s">
        <v>989</v>
      </c>
      <c r="AIG1" t="s">
        <v>990</v>
      </c>
      <c r="AIH1" t="s">
        <v>991</v>
      </c>
      <c r="AII1" t="s">
        <v>992</v>
      </c>
      <c r="AIJ1" t="s">
        <v>993</v>
      </c>
      <c r="AIK1" t="s">
        <v>994</v>
      </c>
      <c r="AIL1" t="s">
        <v>995</v>
      </c>
      <c r="AIM1" t="s">
        <v>996</v>
      </c>
      <c r="AIN1" t="s">
        <v>997</v>
      </c>
      <c r="AIO1" t="s">
        <v>998</v>
      </c>
      <c r="AIP1" t="s">
        <v>999</v>
      </c>
      <c r="AIQ1" t="s">
        <v>1000</v>
      </c>
      <c r="AIR1" t="s">
        <v>1001</v>
      </c>
      <c r="AIS1" t="s">
        <v>1002</v>
      </c>
      <c r="AIT1" t="s">
        <v>1003</v>
      </c>
      <c r="AIU1" t="s">
        <v>1004</v>
      </c>
      <c r="AIV1" t="s">
        <v>1005</v>
      </c>
      <c r="AIW1" t="s">
        <v>1006</v>
      </c>
      <c r="AIX1" t="s">
        <v>1007</v>
      </c>
      <c r="AIY1" t="s">
        <v>1008</v>
      </c>
      <c r="AIZ1" t="s">
        <v>1009</v>
      </c>
      <c r="AJA1" t="s">
        <v>1010</v>
      </c>
      <c r="AJB1" t="s">
        <v>1011</v>
      </c>
      <c r="AJC1" t="s">
        <v>1012</v>
      </c>
      <c r="AJD1" t="s">
        <v>1013</v>
      </c>
      <c r="AJE1" t="s">
        <v>1014</v>
      </c>
      <c r="AJF1" t="s">
        <v>1015</v>
      </c>
      <c r="AJG1" t="s">
        <v>1016</v>
      </c>
      <c r="AJH1" t="s">
        <v>1017</v>
      </c>
      <c r="AJI1" t="s">
        <v>1018</v>
      </c>
      <c r="AJJ1" t="s">
        <v>1019</v>
      </c>
      <c r="AJK1" t="s">
        <v>1020</v>
      </c>
      <c r="AJL1" t="s">
        <v>1021</v>
      </c>
      <c r="AJM1" t="s">
        <v>1022</v>
      </c>
      <c r="AJN1" t="s">
        <v>1023</v>
      </c>
      <c r="AJO1" t="s">
        <v>1024</v>
      </c>
      <c r="AJP1" t="s">
        <v>1025</v>
      </c>
      <c r="AJQ1" t="s">
        <v>1026</v>
      </c>
      <c r="AJR1" t="s">
        <v>1027</v>
      </c>
      <c r="AJS1" t="s">
        <v>1028</v>
      </c>
      <c r="AJT1" t="s">
        <v>1029</v>
      </c>
      <c r="AJU1" t="s">
        <v>1030</v>
      </c>
      <c r="AJV1" t="s">
        <v>1031</v>
      </c>
      <c r="AJW1" t="s">
        <v>1032</v>
      </c>
      <c r="AJX1" t="s">
        <v>1033</v>
      </c>
      <c r="AJY1" t="s">
        <v>1034</v>
      </c>
      <c r="AJZ1" t="s">
        <v>1035</v>
      </c>
      <c r="AKA1" t="s">
        <v>1036</v>
      </c>
      <c r="AKB1" t="s">
        <v>1037</v>
      </c>
      <c r="AKC1" t="s">
        <v>1038</v>
      </c>
      <c r="AKD1" t="s">
        <v>1039</v>
      </c>
      <c r="AKE1" t="s">
        <v>1040</v>
      </c>
      <c r="AKF1" t="s">
        <v>1041</v>
      </c>
      <c r="AKG1" t="s">
        <v>1042</v>
      </c>
      <c r="AKH1" t="s">
        <v>1043</v>
      </c>
      <c r="AKI1" t="s">
        <v>1044</v>
      </c>
      <c r="AKJ1" t="s">
        <v>1045</v>
      </c>
      <c r="AKK1" t="s">
        <v>1046</v>
      </c>
      <c r="AKL1" t="s">
        <v>1047</v>
      </c>
      <c r="AKM1" t="s">
        <v>1048</v>
      </c>
      <c r="AKN1" t="s">
        <v>1049</v>
      </c>
      <c r="AKO1" t="s">
        <v>1050</v>
      </c>
      <c r="AKP1" t="s">
        <v>1051</v>
      </c>
      <c r="AKQ1" t="s">
        <v>1052</v>
      </c>
      <c r="AKR1" t="s">
        <v>1053</v>
      </c>
      <c r="AKS1" t="s">
        <v>1054</v>
      </c>
      <c r="AKT1" t="s">
        <v>1055</v>
      </c>
      <c r="AKU1" t="s">
        <v>1056</v>
      </c>
      <c r="AKV1" t="s">
        <v>1057</v>
      </c>
      <c r="AKW1" t="s">
        <v>1058</v>
      </c>
      <c r="AKX1" t="s">
        <v>1059</v>
      </c>
      <c r="AKY1" t="s">
        <v>1060</v>
      </c>
      <c r="AKZ1" t="s">
        <v>1061</v>
      </c>
      <c r="ALA1" t="s">
        <v>1062</v>
      </c>
      <c r="ALB1" t="s">
        <v>1063</v>
      </c>
      <c r="ALC1" t="s">
        <v>1064</v>
      </c>
      <c r="ALD1" t="s">
        <v>1065</v>
      </c>
      <c r="ALE1" t="s">
        <v>1066</v>
      </c>
      <c r="ALF1" t="s">
        <v>1067</v>
      </c>
      <c r="ALG1" t="s">
        <v>1068</v>
      </c>
      <c r="ALH1" t="s">
        <v>1069</v>
      </c>
      <c r="ALI1" t="s">
        <v>1070</v>
      </c>
      <c r="ALJ1" t="s">
        <v>1071</v>
      </c>
      <c r="ALK1" t="s">
        <v>1072</v>
      </c>
      <c r="ALL1" t="s">
        <v>1073</v>
      </c>
      <c r="ALM1" t="s">
        <v>1074</v>
      </c>
      <c r="ALN1" t="s">
        <v>1075</v>
      </c>
      <c r="ALO1" t="s">
        <v>1076</v>
      </c>
      <c r="ALP1" t="s">
        <v>1077</v>
      </c>
      <c r="ALQ1" t="s">
        <v>1078</v>
      </c>
      <c r="ALR1" t="s">
        <v>1079</v>
      </c>
      <c r="ALS1" t="s">
        <v>1080</v>
      </c>
      <c r="ALT1" t="s">
        <v>1081</v>
      </c>
      <c r="ALU1" t="s">
        <v>1082</v>
      </c>
      <c r="ALV1" t="s">
        <v>1083</v>
      </c>
      <c r="ALW1" t="s">
        <v>1084</v>
      </c>
      <c r="ALX1" t="s">
        <v>1085</v>
      </c>
      <c r="ALY1" t="s">
        <v>1086</v>
      </c>
      <c r="ALZ1" t="s">
        <v>1087</v>
      </c>
      <c r="AMA1" t="s">
        <v>1088</v>
      </c>
      <c r="AMB1" t="s">
        <v>1089</v>
      </c>
      <c r="AMC1" t="s">
        <v>1090</v>
      </c>
      <c r="AMD1" t="s">
        <v>1091</v>
      </c>
      <c r="AME1" t="s">
        <v>1092</v>
      </c>
      <c r="AMF1" t="s">
        <v>1093</v>
      </c>
      <c r="AMG1" t="s">
        <v>1094</v>
      </c>
      <c r="AMH1" t="s">
        <v>1095</v>
      </c>
      <c r="AMI1" t="s">
        <v>1096</v>
      </c>
      <c r="AMJ1" t="s">
        <v>1097</v>
      </c>
      <c r="AMK1" t="s">
        <v>1098</v>
      </c>
      <c r="AML1" t="s">
        <v>1099</v>
      </c>
      <c r="AMM1" t="s">
        <v>1100</v>
      </c>
      <c r="AMN1" t="s">
        <v>1101</v>
      </c>
      <c r="AMO1" t="s">
        <v>1102</v>
      </c>
      <c r="AMP1" t="s">
        <v>1103</v>
      </c>
      <c r="AMQ1" t="s">
        <v>1104</v>
      </c>
      <c r="AMR1" t="s">
        <v>1105</v>
      </c>
      <c r="AMS1" t="s">
        <v>1106</v>
      </c>
      <c r="AMT1" t="s">
        <v>1107</v>
      </c>
      <c r="AMU1" t="s">
        <v>1108</v>
      </c>
      <c r="AMV1" t="s">
        <v>1109</v>
      </c>
      <c r="AMW1" t="s">
        <v>1110</v>
      </c>
      <c r="AMX1" t="s">
        <v>1111</v>
      </c>
      <c r="AMY1" t="s">
        <v>1112</v>
      </c>
      <c r="AMZ1" t="s">
        <v>1113</v>
      </c>
      <c r="ANA1" t="s">
        <v>1114</v>
      </c>
      <c r="ANB1" t="s">
        <v>1115</v>
      </c>
      <c r="ANC1" t="s">
        <v>1116</v>
      </c>
      <c r="AND1" t="s">
        <v>1117</v>
      </c>
      <c r="ANE1" t="s">
        <v>1118</v>
      </c>
      <c r="ANF1" t="s">
        <v>1119</v>
      </c>
      <c r="ANG1" t="s">
        <v>1120</v>
      </c>
      <c r="ANH1" t="s">
        <v>1121</v>
      </c>
      <c r="ANI1" t="s">
        <v>1122</v>
      </c>
      <c r="ANJ1" t="s">
        <v>1123</v>
      </c>
      <c r="ANK1" t="s">
        <v>1124</v>
      </c>
      <c r="ANL1" t="s">
        <v>1125</v>
      </c>
      <c r="ANM1" t="s">
        <v>1126</v>
      </c>
      <c r="ANN1" t="s">
        <v>1127</v>
      </c>
      <c r="ANO1" t="s">
        <v>1128</v>
      </c>
      <c r="ANP1" t="s">
        <v>1129</v>
      </c>
      <c r="ANQ1" t="s">
        <v>1130</v>
      </c>
      <c r="ANR1" t="s">
        <v>1131</v>
      </c>
      <c r="ANS1" t="s">
        <v>1132</v>
      </c>
      <c r="ANT1" t="s">
        <v>1133</v>
      </c>
      <c r="ANU1" t="s">
        <v>1134</v>
      </c>
      <c r="ANV1" t="s">
        <v>1135</v>
      </c>
      <c r="ANW1" t="s">
        <v>1136</v>
      </c>
      <c r="ANX1" t="s">
        <v>1137</v>
      </c>
      <c r="ANY1" t="s">
        <v>1138</v>
      </c>
      <c r="ANZ1" t="s">
        <v>1139</v>
      </c>
      <c r="AOA1" t="s">
        <v>1140</v>
      </c>
      <c r="AOB1" t="s">
        <v>1141</v>
      </c>
      <c r="AOC1" t="s">
        <v>1142</v>
      </c>
      <c r="AOD1" t="s">
        <v>1143</v>
      </c>
      <c r="AOE1" t="s">
        <v>1144</v>
      </c>
      <c r="AOF1" t="s">
        <v>1145</v>
      </c>
      <c r="AOG1" t="s">
        <v>1146</v>
      </c>
      <c r="AOH1" t="s">
        <v>1147</v>
      </c>
      <c r="AOI1" t="s">
        <v>1148</v>
      </c>
      <c r="AOJ1" t="s">
        <v>1149</v>
      </c>
      <c r="AOK1" t="s">
        <v>1150</v>
      </c>
      <c r="AOL1" t="s">
        <v>1151</v>
      </c>
      <c r="AOM1" t="s">
        <v>1152</v>
      </c>
      <c r="AON1" t="s">
        <v>1153</v>
      </c>
      <c r="AOO1" t="s">
        <v>1154</v>
      </c>
      <c r="AOP1" t="s">
        <v>1155</v>
      </c>
      <c r="AOQ1" t="s">
        <v>1156</v>
      </c>
      <c r="AOR1" t="s">
        <v>1157</v>
      </c>
      <c r="AOS1" t="s">
        <v>1158</v>
      </c>
      <c r="AOT1" t="s">
        <v>1159</v>
      </c>
      <c r="AOU1" t="s">
        <v>1160</v>
      </c>
      <c r="AOV1" t="s">
        <v>1161</v>
      </c>
      <c r="AOW1" t="s">
        <v>1162</v>
      </c>
      <c r="AOX1" t="s">
        <v>1163</v>
      </c>
      <c r="AOY1" t="s">
        <v>1164</v>
      </c>
      <c r="AOZ1" t="s">
        <v>1165</v>
      </c>
      <c r="APA1" t="s">
        <v>1166</v>
      </c>
      <c r="APB1" t="s">
        <v>1167</v>
      </c>
      <c r="APC1" t="s">
        <v>1168</v>
      </c>
      <c r="APD1" t="s">
        <v>1169</v>
      </c>
      <c r="APE1" t="s">
        <v>1170</v>
      </c>
      <c r="APF1" t="s">
        <v>1171</v>
      </c>
      <c r="APG1" t="s">
        <v>1172</v>
      </c>
      <c r="APH1" t="s">
        <v>1173</v>
      </c>
      <c r="API1" t="s">
        <v>1174</v>
      </c>
      <c r="APJ1" t="s">
        <v>1175</v>
      </c>
      <c r="APK1" t="s">
        <v>1176</v>
      </c>
      <c r="APL1" t="s">
        <v>1177</v>
      </c>
      <c r="APM1" t="s">
        <v>1178</v>
      </c>
      <c r="APN1" t="s">
        <v>1179</v>
      </c>
      <c r="APO1" t="s">
        <v>1180</v>
      </c>
      <c r="APP1" t="s">
        <v>1181</v>
      </c>
      <c r="APQ1" t="s">
        <v>1182</v>
      </c>
      <c r="APR1" t="s">
        <v>1183</v>
      </c>
      <c r="APS1" t="s">
        <v>1184</v>
      </c>
      <c r="APT1" t="s">
        <v>1185</v>
      </c>
      <c r="APU1" t="s">
        <v>1186</v>
      </c>
      <c r="APV1" t="s">
        <v>1187</v>
      </c>
      <c r="APW1" t="s">
        <v>1188</v>
      </c>
      <c r="APX1" t="s">
        <v>1189</v>
      </c>
      <c r="APY1" t="s">
        <v>1190</v>
      </c>
      <c r="APZ1" t="s">
        <v>1191</v>
      </c>
      <c r="AQA1" t="s">
        <v>1192</v>
      </c>
      <c r="AQB1" t="s">
        <v>1193</v>
      </c>
      <c r="AQC1" t="s">
        <v>1194</v>
      </c>
      <c r="AQD1" t="s">
        <v>1195</v>
      </c>
      <c r="AQE1" t="s">
        <v>1196</v>
      </c>
      <c r="AQF1" t="s">
        <v>1197</v>
      </c>
      <c r="AQG1" t="s">
        <v>1198</v>
      </c>
      <c r="AQH1" t="s">
        <v>1199</v>
      </c>
      <c r="AQI1" t="s">
        <v>1200</v>
      </c>
      <c r="AQJ1" t="s">
        <v>1201</v>
      </c>
      <c r="AQK1" t="s">
        <v>1202</v>
      </c>
      <c r="AQL1" t="s">
        <v>1203</v>
      </c>
      <c r="AQM1" t="s">
        <v>1204</v>
      </c>
      <c r="AQN1" t="s">
        <v>1205</v>
      </c>
      <c r="AQO1" t="s">
        <v>1206</v>
      </c>
      <c r="AQP1" t="s">
        <v>1207</v>
      </c>
      <c r="AQQ1" t="s">
        <v>1208</v>
      </c>
      <c r="AQR1" t="s">
        <v>1209</v>
      </c>
      <c r="AQS1" t="s">
        <v>1210</v>
      </c>
      <c r="AQT1" t="s">
        <v>1211</v>
      </c>
      <c r="AQU1" t="s">
        <v>1212</v>
      </c>
      <c r="AQV1" t="s">
        <v>1213</v>
      </c>
      <c r="AQW1" t="s">
        <v>1214</v>
      </c>
      <c r="AQX1" t="s">
        <v>1215</v>
      </c>
      <c r="AQY1" t="s">
        <v>1216</v>
      </c>
      <c r="AQZ1" t="s">
        <v>1217</v>
      </c>
      <c r="ARA1" t="s">
        <v>1218</v>
      </c>
      <c r="ARB1" t="s">
        <v>1219</v>
      </c>
      <c r="ARC1" t="s">
        <v>1220</v>
      </c>
      <c r="ARD1" t="s">
        <v>1221</v>
      </c>
      <c r="ARE1" t="s">
        <v>1222</v>
      </c>
      <c r="ARF1" t="s">
        <v>1223</v>
      </c>
      <c r="ARG1" t="s">
        <v>1224</v>
      </c>
      <c r="ARH1" t="s">
        <v>1225</v>
      </c>
      <c r="ARI1" t="s">
        <v>1226</v>
      </c>
      <c r="ARJ1" t="s">
        <v>1227</v>
      </c>
      <c r="ARK1" t="s">
        <v>1228</v>
      </c>
      <c r="ARL1" t="s">
        <v>1229</v>
      </c>
      <c r="ARM1" t="s">
        <v>1230</v>
      </c>
      <c r="ARN1" t="s">
        <v>1231</v>
      </c>
      <c r="ARO1" t="s">
        <v>1232</v>
      </c>
      <c r="ARP1" t="s">
        <v>1233</v>
      </c>
      <c r="ARQ1" t="s">
        <v>1234</v>
      </c>
      <c r="ARR1" t="s">
        <v>1235</v>
      </c>
      <c r="ARS1" t="s">
        <v>1236</v>
      </c>
      <c r="ART1" t="s">
        <v>1237</v>
      </c>
      <c r="ARU1" t="s">
        <v>1238</v>
      </c>
      <c r="ARV1" t="s">
        <v>1239</v>
      </c>
      <c r="ARW1" t="s">
        <v>1240</v>
      </c>
      <c r="ARX1" t="s">
        <v>1241</v>
      </c>
      <c r="ARY1" t="s">
        <v>1242</v>
      </c>
      <c r="ARZ1" t="s">
        <v>1243</v>
      </c>
      <c r="ASA1" t="s">
        <v>1244</v>
      </c>
      <c r="ASB1" t="s">
        <v>1245</v>
      </c>
      <c r="ASC1" t="s">
        <v>1246</v>
      </c>
      <c r="ASD1" t="s">
        <v>1247</v>
      </c>
      <c r="ASE1" t="s">
        <v>1248</v>
      </c>
      <c r="ASF1" t="s">
        <v>1249</v>
      </c>
      <c r="ASG1" t="s">
        <v>1250</v>
      </c>
      <c r="ASH1" t="s">
        <v>1251</v>
      </c>
      <c r="ASI1" t="s">
        <v>1252</v>
      </c>
      <c r="ASJ1" t="s">
        <v>1253</v>
      </c>
      <c r="ASK1" t="s">
        <v>1254</v>
      </c>
      <c r="ASL1" t="s">
        <v>1255</v>
      </c>
      <c r="ASM1" t="s">
        <v>1256</v>
      </c>
      <c r="ASN1" t="s">
        <v>1257</v>
      </c>
      <c r="ASO1" t="s">
        <v>1258</v>
      </c>
      <c r="ASP1" t="s">
        <v>1259</v>
      </c>
      <c r="ASQ1" t="s">
        <v>1260</v>
      </c>
      <c r="ASR1" t="s">
        <v>1261</v>
      </c>
      <c r="ASS1" t="s">
        <v>1262</v>
      </c>
      <c r="AST1" t="s">
        <v>1263</v>
      </c>
      <c r="ASU1" t="s">
        <v>1264</v>
      </c>
      <c r="ASV1" t="s">
        <v>1265</v>
      </c>
      <c r="ASW1" t="s">
        <v>1266</v>
      </c>
      <c r="ASX1" t="s">
        <v>1267</v>
      </c>
      <c r="ASY1" t="s">
        <v>1268</v>
      </c>
      <c r="ASZ1" t="s">
        <v>1269</v>
      </c>
      <c r="ATA1" t="s">
        <v>1270</v>
      </c>
      <c r="ATB1" t="s">
        <v>1271</v>
      </c>
      <c r="ATC1" t="s">
        <v>1272</v>
      </c>
      <c r="ATD1" t="s">
        <v>1273</v>
      </c>
      <c r="ATE1" t="s">
        <v>1274</v>
      </c>
      <c r="ATF1" t="s">
        <v>1275</v>
      </c>
      <c r="ATG1" t="s">
        <v>1276</v>
      </c>
      <c r="ATH1" t="s">
        <v>1277</v>
      </c>
      <c r="ATI1" t="s">
        <v>1278</v>
      </c>
      <c r="ATJ1" t="s">
        <v>1279</v>
      </c>
      <c r="ATK1" t="s">
        <v>1280</v>
      </c>
      <c r="ATL1" t="s">
        <v>1281</v>
      </c>
      <c r="ATM1" t="s">
        <v>1282</v>
      </c>
      <c r="ATN1" t="s">
        <v>1283</v>
      </c>
      <c r="ATO1" t="s">
        <v>1284</v>
      </c>
      <c r="ATP1" t="s">
        <v>1285</v>
      </c>
      <c r="ATQ1" t="s">
        <v>1286</v>
      </c>
      <c r="ATR1" t="s">
        <v>1287</v>
      </c>
      <c r="ATS1" t="s">
        <v>1288</v>
      </c>
      <c r="ATT1" t="s">
        <v>1289</v>
      </c>
      <c r="ATU1" t="s">
        <v>1290</v>
      </c>
      <c r="ATV1" t="s">
        <v>1291</v>
      </c>
      <c r="ATW1" t="s">
        <v>1292</v>
      </c>
      <c r="ATX1" t="s">
        <v>1293</v>
      </c>
      <c r="ATY1" t="s">
        <v>1294</v>
      </c>
      <c r="ATZ1" t="s">
        <v>1295</v>
      </c>
      <c r="AUA1" t="s">
        <v>1296</v>
      </c>
      <c r="AUB1" t="s">
        <v>1297</v>
      </c>
      <c r="AUC1" t="s">
        <v>1298</v>
      </c>
      <c r="AUD1" t="s">
        <v>1299</v>
      </c>
      <c r="AUE1" t="s">
        <v>1300</v>
      </c>
      <c r="AUF1" t="s">
        <v>1301</v>
      </c>
      <c r="AUG1" t="s">
        <v>1302</v>
      </c>
      <c r="AUH1" t="s">
        <v>1303</v>
      </c>
      <c r="AUI1" t="s">
        <v>1304</v>
      </c>
      <c r="AUJ1" t="s">
        <v>1305</v>
      </c>
      <c r="AUK1" t="s">
        <v>1306</v>
      </c>
      <c r="AUL1" t="s">
        <v>1307</v>
      </c>
      <c r="AUM1" t="s">
        <v>1308</v>
      </c>
      <c r="AUN1" t="s">
        <v>1309</v>
      </c>
      <c r="AUO1" t="s">
        <v>1310</v>
      </c>
      <c r="AUP1" t="s">
        <v>1311</v>
      </c>
      <c r="AUQ1" t="s">
        <v>1312</v>
      </c>
      <c r="AUR1" t="s">
        <v>1313</v>
      </c>
      <c r="AUS1" t="s">
        <v>1314</v>
      </c>
      <c r="AUT1" t="s">
        <v>1315</v>
      </c>
      <c r="AUU1" t="s">
        <v>1316</v>
      </c>
      <c r="AUV1" t="s">
        <v>1317</v>
      </c>
      <c r="AUW1" t="s">
        <v>1318</v>
      </c>
      <c r="AUX1" t="s">
        <v>1319</v>
      </c>
      <c r="AUY1" t="s">
        <v>1320</v>
      </c>
      <c r="AUZ1" t="s">
        <v>1321</v>
      </c>
      <c r="AVA1" t="s">
        <v>1322</v>
      </c>
      <c r="AVB1" t="s">
        <v>1323</v>
      </c>
      <c r="AVC1" t="s">
        <v>1324</v>
      </c>
      <c r="AVD1" t="s">
        <v>1325</v>
      </c>
      <c r="AVE1" t="s">
        <v>1326</v>
      </c>
      <c r="AVF1" t="s">
        <v>1327</v>
      </c>
      <c r="AVG1" t="s">
        <v>1328</v>
      </c>
      <c r="AVH1" t="s">
        <v>1329</v>
      </c>
      <c r="AVI1" t="s">
        <v>1330</v>
      </c>
      <c r="AVJ1" t="s">
        <v>1331</v>
      </c>
      <c r="AVK1" t="s">
        <v>1332</v>
      </c>
      <c r="AVL1" t="s">
        <v>1333</v>
      </c>
      <c r="AVM1" t="s">
        <v>1334</v>
      </c>
      <c r="AVN1" t="s">
        <v>1335</v>
      </c>
      <c r="AVO1" t="s">
        <v>1336</v>
      </c>
      <c r="AVP1" t="s">
        <v>1337</v>
      </c>
      <c r="AVQ1" t="s">
        <v>1338</v>
      </c>
      <c r="AVR1" t="s">
        <v>1339</v>
      </c>
      <c r="AVS1" t="s">
        <v>1340</v>
      </c>
      <c r="AVT1" t="s">
        <v>1341</v>
      </c>
      <c r="AVU1" t="s">
        <v>1342</v>
      </c>
      <c r="AVV1" t="s">
        <v>1343</v>
      </c>
      <c r="AVW1" t="s">
        <v>1344</v>
      </c>
      <c r="AVX1" t="s">
        <v>1345</v>
      </c>
      <c r="AVY1" t="s">
        <v>1346</v>
      </c>
      <c r="AVZ1" t="s">
        <v>1347</v>
      </c>
      <c r="AWA1" t="s">
        <v>1348</v>
      </c>
      <c r="AWB1" t="s">
        <v>1349</v>
      </c>
      <c r="AWC1" t="s">
        <v>1350</v>
      </c>
      <c r="AWD1" t="s">
        <v>1351</v>
      </c>
      <c r="AWE1" t="s">
        <v>1352</v>
      </c>
      <c r="AWF1" t="s">
        <v>1353</v>
      </c>
      <c r="AWG1" t="s">
        <v>1354</v>
      </c>
      <c r="AWH1" t="s">
        <v>1355</v>
      </c>
      <c r="AWI1" t="s">
        <v>1356</v>
      </c>
      <c r="AWJ1" t="s">
        <v>1357</v>
      </c>
      <c r="AWK1" t="s">
        <v>1358</v>
      </c>
      <c r="AWL1" t="s">
        <v>1359</v>
      </c>
      <c r="AWM1" t="s">
        <v>1360</v>
      </c>
      <c r="AWN1" t="s">
        <v>1361</v>
      </c>
      <c r="AWO1" t="s">
        <v>1362</v>
      </c>
      <c r="AWP1" t="s">
        <v>1363</v>
      </c>
      <c r="AWQ1" t="s">
        <v>1364</v>
      </c>
      <c r="AWR1" t="s">
        <v>1365</v>
      </c>
      <c r="AWS1" t="s">
        <v>1366</v>
      </c>
      <c r="AWT1" t="s">
        <v>1367</v>
      </c>
      <c r="AWU1" t="s">
        <v>1368</v>
      </c>
      <c r="AWV1" t="s">
        <v>1369</v>
      </c>
      <c r="AWW1" t="s">
        <v>1370</v>
      </c>
      <c r="AWX1" t="s">
        <v>1371</v>
      </c>
      <c r="AWY1" t="s">
        <v>1372</v>
      </c>
      <c r="AWZ1" t="s">
        <v>1373</v>
      </c>
      <c r="AXA1" t="s">
        <v>1374</v>
      </c>
      <c r="AXB1" t="s">
        <v>1375</v>
      </c>
      <c r="AXC1" t="s">
        <v>1376</v>
      </c>
      <c r="AXD1" t="s">
        <v>1377</v>
      </c>
      <c r="AXE1" t="s">
        <v>1378</v>
      </c>
      <c r="AXF1" t="s">
        <v>1379</v>
      </c>
      <c r="AXG1" t="s">
        <v>1380</v>
      </c>
      <c r="AXH1" t="s">
        <v>1381</v>
      </c>
      <c r="AXI1" t="s">
        <v>1382</v>
      </c>
      <c r="AXJ1" t="s">
        <v>1383</v>
      </c>
      <c r="AXK1" t="s">
        <v>1384</v>
      </c>
      <c r="AXL1" t="s">
        <v>1385</v>
      </c>
      <c r="AXM1" t="s">
        <v>1386</v>
      </c>
      <c r="AXN1" t="s">
        <v>1387</v>
      </c>
      <c r="AXO1" t="s">
        <v>1388</v>
      </c>
      <c r="AXP1" t="s">
        <v>1389</v>
      </c>
      <c r="AXQ1" t="s">
        <v>1390</v>
      </c>
      <c r="AXR1" t="s">
        <v>1391</v>
      </c>
      <c r="AXS1" t="s">
        <v>1392</v>
      </c>
      <c r="AXT1" t="s">
        <v>1393</v>
      </c>
      <c r="AXU1" t="s">
        <v>1394</v>
      </c>
      <c r="AXV1" t="s">
        <v>1395</v>
      </c>
      <c r="AXW1" t="s">
        <v>1396</v>
      </c>
      <c r="AXX1" t="s">
        <v>1397</v>
      </c>
      <c r="AXY1" t="s">
        <v>1398</v>
      </c>
      <c r="AXZ1" t="s">
        <v>1399</v>
      </c>
      <c r="AYA1" t="s">
        <v>1400</v>
      </c>
      <c r="AYB1" t="s">
        <v>1401</v>
      </c>
      <c r="AYC1" t="s">
        <v>1402</v>
      </c>
      <c r="AYD1" t="s">
        <v>1403</v>
      </c>
      <c r="AYE1" t="s">
        <v>1404</v>
      </c>
      <c r="AYF1" t="s">
        <v>1405</v>
      </c>
      <c r="AYG1" t="s">
        <v>1406</v>
      </c>
      <c r="AYH1" t="s">
        <v>1407</v>
      </c>
      <c r="AYI1" t="s">
        <v>1408</v>
      </c>
      <c r="AYJ1" t="s">
        <v>1409</v>
      </c>
      <c r="AYK1" t="s">
        <v>1410</v>
      </c>
      <c r="AYL1" t="s">
        <v>1411</v>
      </c>
      <c r="AYM1" t="s">
        <v>1412</v>
      </c>
      <c r="AYN1" t="s">
        <v>1413</v>
      </c>
      <c r="AYO1" t="s">
        <v>1414</v>
      </c>
      <c r="AYP1" t="s">
        <v>1415</v>
      </c>
      <c r="AYQ1" t="s">
        <v>1416</v>
      </c>
      <c r="AYR1" t="s">
        <v>1417</v>
      </c>
      <c r="AYS1" t="s">
        <v>1418</v>
      </c>
      <c r="AYT1" t="s">
        <v>1419</v>
      </c>
      <c r="AYU1" t="s">
        <v>1420</v>
      </c>
      <c r="AYV1" t="s">
        <v>1421</v>
      </c>
      <c r="AYW1" t="s">
        <v>1422</v>
      </c>
      <c r="AYX1" t="s">
        <v>1423</v>
      </c>
      <c r="AYY1" t="s">
        <v>1424</v>
      </c>
      <c r="AYZ1" t="s">
        <v>1425</v>
      </c>
      <c r="AZA1" t="s">
        <v>1426</v>
      </c>
      <c r="AZB1" t="s">
        <v>1427</v>
      </c>
    </row>
    <row r="2" spans="1:1354">
      <c r="A2">
        <v>20190812</v>
      </c>
      <c r="B2" t="s">
        <v>1428</v>
      </c>
      <c r="C2">
        <v>8</v>
      </c>
      <c r="D2">
        <v>2019</v>
      </c>
      <c r="E2" t="s">
        <v>1429</v>
      </c>
      <c r="F2" t="s">
        <v>1430</v>
      </c>
      <c r="G2" t="s">
        <v>68</v>
      </c>
      <c r="H2" t="s">
        <v>1431</v>
      </c>
      <c r="I2">
        <v>2</v>
      </c>
      <c r="J2">
        <v>33</v>
      </c>
      <c r="K2">
        <v>12</v>
      </c>
      <c r="L2">
        <v>224</v>
      </c>
      <c r="M2" t="s">
        <v>1428</v>
      </c>
      <c r="N2" t="s">
        <v>1428</v>
      </c>
      <c r="O2">
        <v>2019</v>
      </c>
      <c r="P2">
        <v>20180812</v>
      </c>
      <c r="Q2">
        <v>2018</v>
      </c>
      <c r="R2" t="s">
        <v>1428</v>
      </c>
      <c r="S2">
        <v>1</v>
      </c>
      <c r="T2">
        <v>1</v>
      </c>
      <c r="U2">
        <v>201933</v>
      </c>
      <c r="V2">
        <v>201932</v>
      </c>
      <c r="W2">
        <v>201833</v>
      </c>
      <c r="X2">
        <v>201908</v>
      </c>
      <c r="Y2">
        <v>201808</v>
      </c>
      <c r="Z2">
        <v>2019</v>
      </c>
      <c r="AA2">
        <v>2018</v>
      </c>
      <c r="AB2">
        <v>7192</v>
      </c>
      <c r="AC2">
        <v>30443766.100000098</v>
      </c>
      <c r="AD2">
        <v>47390</v>
      </c>
      <c r="AE2">
        <v>853</v>
      </c>
      <c r="AF2">
        <v>5504</v>
      </c>
      <c r="AG2">
        <v>27</v>
      </c>
      <c r="AH2">
        <v>41651</v>
      </c>
      <c r="AI2">
        <v>23976</v>
      </c>
      <c r="AJ2">
        <v>10496</v>
      </c>
      <c r="AK2">
        <v>5820</v>
      </c>
      <c r="AL2">
        <v>6787</v>
      </c>
      <c r="AM2">
        <v>30310857.6300001</v>
      </c>
      <c r="AN2">
        <v>5802</v>
      </c>
      <c r="AO2">
        <v>985</v>
      </c>
      <c r="AP2">
        <v>26552744.84</v>
      </c>
      <c r="AQ2">
        <v>3758112.79</v>
      </c>
      <c r="AR2">
        <v>3226</v>
      </c>
      <c r="AS2">
        <v>3224</v>
      </c>
      <c r="AT2">
        <v>702</v>
      </c>
      <c r="AU2">
        <v>42</v>
      </c>
      <c r="AV2">
        <v>885</v>
      </c>
      <c r="AW2">
        <v>680</v>
      </c>
      <c r="AX2">
        <v>722</v>
      </c>
      <c r="AY2">
        <v>314</v>
      </c>
      <c r="AZ2">
        <v>2986</v>
      </c>
      <c r="BA2">
        <v>1136</v>
      </c>
      <c r="BB2">
        <v>64</v>
      </c>
      <c r="BC2">
        <v>3425</v>
      </c>
      <c r="BD2">
        <v>591</v>
      </c>
      <c r="BE2">
        <v>401</v>
      </c>
      <c r="BF2">
        <v>833</v>
      </c>
      <c r="BG2">
        <v>1106</v>
      </c>
      <c r="BH2">
        <v>217</v>
      </c>
      <c r="BI2">
        <v>431</v>
      </c>
      <c r="BJ2">
        <v>859</v>
      </c>
      <c r="BK2">
        <v>1478</v>
      </c>
      <c r="BL2">
        <v>1227</v>
      </c>
      <c r="BM2">
        <v>1511</v>
      </c>
      <c r="BN2">
        <v>1359</v>
      </c>
      <c r="BO2">
        <v>280</v>
      </c>
      <c r="BP2">
        <v>14996249.380000001</v>
      </c>
      <c r="BQ2">
        <v>13873254.26</v>
      </c>
      <c r="BR2">
        <v>1334656.98</v>
      </c>
      <c r="BS2">
        <v>269231.48</v>
      </c>
      <c r="BT2">
        <v>4475684.0199999996</v>
      </c>
      <c r="BU2">
        <v>4201963.83</v>
      </c>
      <c r="BV2">
        <v>4780200.04</v>
      </c>
      <c r="BW2">
        <v>914556.74</v>
      </c>
      <c r="BX2">
        <v>9574068.8100000098</v>
      </c>
      <c r="BY2">
        <v>6234631.7599999998</v>
      </c>
      <c r="BZ2">
        <v>129752.43</v>
      </c>
      <c r="CA2">
        <v>15668602.77</v>
      </c>
      <c r="CB2">
        <v>2377042.21</v>
      </c>
      <c r="CC2">
        <v>1373856.01</v>
      </c>
      <c r="CD2">
        <v>4435937.6399999997</v>
      </c>
      <c r="CE2">
        <v>4366584.5999999996</v>
      </c>
      <c r="CF2">
        <v>1154084.72</v>
      </c>
      <c r="CG2">
        <v>2088834.4</v>
      </c>
      <c r="CH2">
        <v>2534725.09</v>
      </c>
      <c r="CI2">
        <v>5859711.4199999999</v>
      </c>
      <c r="CJ2">
        <v>7473891.1799999997</v>
      </c>
      <c r="CK2">
        <v>8661513.4800000004</v>
      </c>
      <c r="CL2">
        <v>4963610.0999999996</v>
      </c>
      <c r="CM2">
        <v>666757.82999999996</v>
      </c>
      <c r="CN2">
        <v>6038</v>
      </c>
      <c r="CO2">
        <v>24718005.25</v>
      </c>
      <c r="CP2">
        <v>47390</v>
      </c>
      <c r="CQ2">
        <v>853</v>
      </c>
      <c r="CR2">
        <v>4785</v>
      </c>
      <c r="CS2">
        <v>27</v>
      </c>
      <c r="CT2">
        <v>41651</v>
      </c>
      <c r="CU2">
        <v>20143</v>
      </c>
      <c r="CV2">
        <v>8733</v>
      </c>
      <c r="CW2">
        <v>4731</v>
      </c>
      <c r="CX2">
        <v>5633</v>
      </c>
      <c r="CY2">
        <v>24585096.780000001</v>
      </c>
      <c r="CZ2">
        <v>4756</v>
      </c>
      <c r="DA2">
        <v>877</v>
      </c>
      <c r="DB2">
        <v>21285911.82</v>
      </c>
      <c r="DC2">
        <v>3299184.96</v>
      </c>
      <c r="DD2">
        <v>2453</v>
      </c>
      <c r="DE2">
        <v>2877</v>
      </c>
      <c r="DF2">
        <v>671</v>
      </c>
      <c r="DG2">
        <v>38</v>
      </c>
      <c r="DH2">
        <v>777</v>
      </c>
      <c r="DI2">
        <v>574</v>
      </c>
      <c r="DJ2">
        <v>650</v>
      </c>
      <c r="DK2">
        <v>284</v>
      </c>
      <c r="DL2">
        <v>2362</v>
      </c>
      <c r="DM2">
        <v>933</v>
      </c>
      <c r="DN2">
        <v>53</v>
      </c>
      <c r="DO2">
        <v>2842</v>
      </c>
      <c r="DP2">
        <v>514</v>
      </c>
      <c r="DQ2">
        <v>347</v>
      </c>
      <c r="DR2">
        <v>718</v>
      </c>
      <c r="DS2">
        <v>825</v>
      </c>
      <c r="DT2">
        <v>173</v>
      </c>
      <c r="DU2">
        <v>387</v>
      </c>
      <c r="DV2">
        <v>654</v>
      </c>
      <c r="DW2">
        <v>1113</v>
      </c>
      <c r="DX2">
        <v>1067</v>
      </c>
      <c r="DY2">
        <v>1354</v>
      </c>
      <c r="DZ2">
        <v>1115</v>
      </c>
      <c r="EA2">
        <v>264</v>
      </c>
      <c r="EB2">
        <v>11133209.1</v>
      </c>
      <c r="EC2">
        <v>12207327.949999999</v>
      </c>
      <c r="ED2">
        <v>1146531.46</v>
      </c>
      <c r="EE2">
        <v>256026.74</v>
      </c>
      <c r="EF2">
        <v>3806275.06</v>
      </c>
      <c r="EG2">
        <v>3423780.41</v>
      </c>
      <c r="EH2">
        <v>4222514.97</v>
      </c>
      <c r="EI2">
        <v>803002.26</v>
      </c>
      <c r="EJ2">
        <v>7212145.5199999996</v>
      </c>
      <c r="EK2">
        <v>5014502.43</v>
      </c>
      <c r="EL2">
        <v>102876.13</v>
      </c>
      <c r="EM2">
        <v>12479248.859999999</v>
      </c>
      <c r="EN2">
        <v>2034150.34</v>
      </c>
      <c r="EO2">
        <v>1178148.6499999999</v>
      </c>
      <c r="EP2">
        <v>3768564.15</v>
      </c>
      <c r="EQ2">
        <v>3254630.18</v>
      </c>
      <c r="ER2">
        <v>935604.92</v>
      </c>
      <c r="ES2">
        <v>1870354.6</v>
      </c>
      <c r="ET2">
        <v>1784673.04</v>
      </c>
      <c r="EU2">
        <v>4234792.8600000003</v>
      </c>
      <c r="EV2">
        <v>6312930.1699999999</v>
      </c>
      <c r="EW2">
        <v>7560004.7400000002</v>
      </c>
      <c r="EX2">
        <v>3933402.95</v>
      </c>
      <c r="EY2">
        <v>624545.32999999996</v>
      </c>
      <c r="EZ2">
        <v>6491</v>
      </c>
      <c r="FA2">
        <v>27966191.109999999</v>
      </c>
      <c r="FB2">
        <v>15221</v>
      </c>
      <c r="FC2">
        <v>629</v>
      </c>
      <c r="FD2">
        <v>4627</v>
      </c>
      <c r="FE2">
        <v>1</v>
      </c>
      <c r="FF2">
        <v>0</v>
      </c>
      <c r="FG2">
        <v>21617</v>
      </c>
      <c r="FH2">
        <v>8242</v>
      </c>
      <c r="FI2">
        <v>7037</v>
      </c>
      <c r="FJ2">
        <v>6437</v>
      </c>
      <c r="FK2">
        <v>27958830.109999999</v>
      </c>
      <c r="FL2">
        <v>5402</v>
      </c>
      <c r="FM2">
        <v>1035</v>
      </c>
      <c r="FN2">
        <v>24093897.050000001</v>
      </c>
      <c r="FO2">
        <v>3864933.06</v>
      </c>
      <c r="FP2">
        <v>2818</v>
      </c>
      <c r="FQ2">
        <v>3357</v>
      </c>
      <c r="FR2">
        <v>268</v>
      </c>
      <c r="FS2">
        <v>44</v>
      </c>
      <c r="FT2">
        <v>857</v>
      </c>
      <c r="FU2">
        <v>631</v>
      </c>
      <c r="FV2">
        <v>628</v>
      </c>
      <c r="FW2">
        <v>385</v>
      </c>
      <c r="FX2">
        <v>2846</v>
      </c>
      <c r="FY2">
        <v>1051</v>
      </c>
      <c r="FZ2">
        <v>39</v>
      </c>
      <c r="GA2">
        <v>3188</v>
      </c>
      <c r="GB2">
        <v>651</v>
      </c>
      <c r="GC2">
        <v>404</v>
      </c>
      <c r="GD2">
        <v>1028</v>
      </c>
      <c r="GE2">
        <v>875</v>
      </c>
      <c r="GF2">
        <v>287</v>
      </c>
      <c r="GG2">
        <v>287</v>
      </c>
      <c r="GH2">
        <v>881</v>
      </c>
      <c r="GI2">
        <v>1329</v>
      </c>
      <c r="GJ2">
        <v>1347</v>
      </c>
      <c r="GK2">
        <v>1229</v>
      </c>
      <c r="GL2">
        <v>1308</v>
      </c>
      <c r="GM2">
        <v>257</v>
      </c>
      <c r="GN2">
        <v>12738537.23</v>
      </c>
      <c r="GO2">
        <v>13976835.390000001</v>
      </c>
      <c r="GP2">
        <v>1036716</v>
      </c>
      <c r="GQ2">
        <v>228564.1</v>
      </c>
      <c r="GR2">
        <v>4382221.6500000004</v>
      </c>
      <c r="GS2">
        <v>3930483.82</v>
      </c>
      <c r="GT2">
        <v>4028509.8</v>
      </c>
      <c r="GU2">
        <v>1105567.72</v>
      </c>
      <c r="GV2">
        <v>8926704.4900000095</v>
      </c>
      <c r="GW2">
        <v>5483665.8099999996</v>
      </c>
      <c r="GX2">
        <v>101676.82</v>
      </c>
      <c r="GY2">
        <v>14641813.66</v>
      </c>
      <c r="GZ2">
        <v>2534572.15</v>
      </c>
      <c r="HA2">
        <v>1197790.96</v>
      </c>
      <c r="HB2">
        <v>4961636.75</v>
      </c>
      <c r="HC2">
        <v>3199808.53</v>
      </c>
      <c r="HD2">
        <v>1390029.31</v>
      </c>
      <c r="HE2">
        <v>1390029.31</v>
      </c>
      <c r="HF2">
        <v>2575953.2200000002</v>
      </c>
      <c r="HG2">
        <v>5061896.3500000099</v>
      </c>
      <c r="HH2">
        <v>7772329.0800000001</v>
      </c>
      <c r="HI2">
        <v>7249111.4299999997</v>
      </c>
      <c r="HJ2">
        <v>4531756.54</v>
      </c>
      <c r="HK2">
        <v>606107.93000000005</v>
      </c>
      <c r="HL2">
        <v>5534</v>
      </c>
      <c r="HM2">
        <v>22995640.68</v>
      </c>
      <c r="HN2">
        <v>15221</v>
      </c>
      <c r="HO2">
        <v>629</v>
      </c>
      <c r="HP2">
        <v>3999</v>
      </c>
      <c r="HQ2">
        <v>1</v>
      </c>
      <c r="HR2">
        <v>0</v>
      </c>
      <c r="HS2">
        <v>18307</v>
      </c>
      <c r="HT2">
        <v>6694</v>
      </c>
      <c r="HU2">
        <v>6260</v>
      </c>
      <c r="HV2">
        <v>5480</v>
      </c>
      <c r="HW2">
        <v>22988279.68</v>
      </c>
      <c r="HX2">
        <v>4544</v>
      </c>
      <c r="HY2">
        <v>936</v>
      </c>
      <c r="HZ2">
        <v>19518989.059999999</v>
      </c>
      <c r="IA2">
        <v>3469290.62</v>
      </c>
      <c r="IB2">
        <v>2175</v>
      </c>
      <c r="IC2">
        <v>3067</v>
      </c>
      <c r="ID2">
        <v>242</v>
      </c>
      <c r="IE2">
        <v>44</v>
      </c>
      <c r="IF2">
        <v>761</v>
      </c>
      <c r="IG2">
        <v>546</v>
      </c>
      <c r="IH2">
        <v>563</v>
      </c>
      <c r="II2">
        <v>357</v>
      </c>
      <c r="IJ2">
        <v>2351</v>
      </c>
      <c r="IK2">
        <v>866</v>
      </c>
      <c r="IL2">
        <v>36</v>
      </c>
      <c r="IM2">
        <v>2537</v>
      </c>
      <c r="IN2">
        <v>570</v>
      </c>
      <c r="IO2">
        <v>372</v>
      </c>
      <c r="IP2">
        <v>936</v>
      </c>
      <c r="IQ2">
        <v>813</v>
      </c>
      <c r="IR2">
        <v>248</v>
      </c>
      <c r="IS2">
        <v>248</v>
      </c>
      <c r="IT2">
        <v>740</v>
      </c>
      <c r="IU2">
        <v>1039</v>
      </c>
      <c r="IV2">
        <v>1151</v>
      </c>
      <c r="IW2">
        <v>1107</v>
      </c>
      <c r="IX2">
        <v>1120</v>
      </c>
      <c r="IY2">
        <v>246</v>
      </c>
      <c r="IZ2">
        <v>9393668.8400000092</v>
      </c>
      <c r="JA2">
        <v>12496076.35</v>
      </c>
      <c r="JB2">
        <v>882893</v>
      </c>
      <c r="JC2">
        <v>228564.1</v>
      </c>
      <c r="JD2">
        <v>3737348.39</v>
      </c>
      <c r="JE2">
        <v>3281944.26</v>
      </c>
      <c r="JF2">
        <v>3492479.27</v>
      </c>
      <c r="JG2">
        <v>993402.55</v>
      </c>
      <c r="JH2">
        <v>7016565.6700000102</v>
      </c>
      <c r="JI2">
        <v>4373515.18</v>
      </c>
      <c r="JJ2">
        <v>93024.36</v>
      </c>
      <c r="JK2">
        <v>11129989.6</v>
      </c>
      <c r="JL2">
        <v>2194061.7599999998</v>
      </c>
      <c r="JM2">
        <v>1081336.28</v>
      </c>
      <c r="JN2">
        <v>4466885.58</v>
      </c>
      <c r="JO2">
        <v>2952570.14</v>
      </c>
      <c r="JP2">
        <v>1130257.57</v>
      </c>
      <c r="JQ2">
        <v>1130257.57</v>
      </c>
      <c r="JR2">
        <v>2076050.61</v>
      </c>
      <c r="JS2">
        <v>3744459.48</v>
      </c>
      <c r="JT2">
        <v>6342916.5199999996</v>
      </c>
      <c r="JU2">
        <v>6340839.1100000003</v>
      </c>
      <c r="JV2">
        <v>3762510.61</v>
      </c>
      <c r="JW2">
        <v>581289.86</v>
      </c>
      <c r="JX2">
        <v>151</v>
      </c>
      <c r="JY2">
        <v>439929.4</v>
      </c>
      <c r="JZ2">
        <v>432</v>
      </c>
      <c r="KA2">
        <v>196</v>
      </c>
      <c r="KB2">
        <v>130</v>
      </c>
      <c r="KC2">
        <v>137</v>
      </c>
      <c r="KD2">
        <v>435093.33</v>
      </c>
      <c r="KE2">
        <v>128</v>
      </c>
      <c r="KF2">
        <v>9</v>
      </c>
      <c r="KG2">
        <v>410269.33</v>
      </c>
      <c r="KH2">
        <v>24824</v>
      </c>
      <c r="KI2">
        <v>49</v>
      </c>
      <c r="KJ2">
        <v>79</v>
      </c>
      <c r="KK2">
        <v>25</v>
      </c>
      <c r="KL2">
        <v>0</v>
      </c>
      <c r="KM2">
        <v>18</v>
      </c>
      <c r="KN2">
        <v>15</v>
      </c>
      <c r="KO2">
        <v>9</v>
      </c>
      <c r="KP2">
        <v>12</v>
      </c>
      <c r="KQ2">
        <v>71</v>
      </c>
      <c r="KR2">
        <v>11</v>
      </c>
      <c r="KS2">
        <v>1</v>
      </c>
      <c r="KT2">
        <v>86</v>
      </c>
      <c r="KU2">
        <v>5</v>
      </c>
      <c r="KV2">
        <v>13</v>
      </c>
      <c r="KW2">
        <v>17</v>
      </c>
      <c r="KX2">
        <v>15</v>
      </c>
      <c r="KY2">
        <v>1</v>
      </c>
      <c r="KZ2">
        <v>1</v>
      </c>
      <c r="LA2">
        <v>0</v>
      </c>
      <c r="LB2">
        <v>2</v>
      </c>
      <c r="LC2">
        <v>0</v>
      </c>
      <c r="LD2">
        <v>59</v>
      </c>
      <c r="LE2">
        <v>59</v>
      </c>
      <c r="LF2">
        <v>17</v>
      </c>
      <c r="LG2">
        <v>167066.95000000001</v>
      </c>
      <c r="LH2">
        <v>248463.38</v>
      </c>
      <c r="LI2">
        <v>28940.07</v>
      </c>
      <c r="LJ2">
        <v>0</v>
      </c>
      <c r="LK2">
        <v>69141</v>
      </c>
      <c r="LL2">
        <v>65637</v>
      </c>
      <c r="LM2">
        <v>44835</v>
      </c>
      <c r="LN2">
        <v>28009</v>
      </c>
      <c r="LO2">
        <v>182558.33</v>
      </c>
      <c r="LP2">
        <v>43268</v>
      </c>
      <c r="LQ2">
        <v>1645</v>
      </c>
      <c r="LR2">
        <v>265718.95</v>
      </c>
      <c r="LS2">
        <v>17524</v>
      </c>
      <c r="LT2">
        <v>33934.379999999997</v>
      </c>
      <c r="LU2">
        <v>70044</v>
      </c>
      <c r="LV2">
        <v>45072</v>
      </c>
      <c r="LW2">
        <v>2800</v>
      </c>
      <c r="LX2">
        <v>2800</v>
      </c>
      <c r="LY2">
        <v>0</v>
      </c>
      <c r="LZ2">
        <v>9708</v>
      </c>
      <c r="MA2">
        <v>0</v>
      </c>
      <c r="MB2">
        <v>204845</v>
      </c>
      <c r="MC2">
        <v>173001.34</v>
      </c>
      <c r="MD2">
        <v>47538.99</v>
      </c>
      <c r="ME2">
        <v>147</v>
      </c>
      <c r="MF2">
        <v>407849.4</v>
      </c>
      <c r="MG2">
        <v>413</v>
      </c>
      <c r="MH2">
        <v>177</v>
      </c>
      <c r="MI2">
        <v>130</v>
      </c>
      <c r="MJ2">
        <v>133</v>
      </c>
      <c r="MK2">
        <v>403013.33</v>
      </c>
      <c r="ML2">
        <v>124</v>
      </c>
      <c r="MM2">
        <v>9</v>
      </c>
      <c r="MN2">
        <v>378189.33</v>
      </c>
      <c r="MO2">
        <v>24824</v>
      </c>
      <c r="MP2">
        <v>46</v>
      </c>
      <c r="MQ2">
        <v>79</v>
      </c>
      <c r="MR2">
        <v>24</v>
      </c>
      <c r="MS2">
        <v>0</v>
      </c>
      <c r="MT2">
        <v>17</v>
      </c>
      <c r="MU2">
        <v>15</v>
      </c>
      <c r="MV2">
        <v>8</v>
      </c>
      <c r="MW2">
        <v>11</v>
      </c>
      <c r="MX2">
        <v>71</v>
      </c>
      <c r="MY2">
        <v>10</v>
      </c>
      <c r="MZ2">
        <v>1</v>
      </c>
      <c r="NA2">
        <v>83</v>
      </c>
      <c r="NB2">
        <v>5</v>
      </c>
      <c r="NC2">
        <v>13</v>
      </c>
      <c r="ND2">
        <v>16</v>
      </c>
      <c r="NE2">
        <v>15</v>
      </c>
      <c r="NF2">
        <v>1</v>
      </c>
      <c r="NG2">
        <v>1</v>
      </c>
      <c r="NH2">
        <v>0</v>
      </c>
      <c r="NI2">
        <v>0</v>
      </c>
      <c r="NJ2">
        <v>0</v>
      </c>
      <c r="NK2">
        <v>57</v>
      </c>
      <c r="NL2">
        <v>59</v>
      </c>
      <c r="NM2">
        <v>17</v>
      </c>
      <c r="NN2">
        <v>141930.95000000001</v>
      </c>
      <c r="NO2">
        <v>248463.38</v>
      </c>
      <c r="NP2">
        <v>21996.07</v>
      </c>
      <c r="NQ2">
        <v>0</v>
      </c>
      <c r="NR2">
        <v>53713</v>
      </c>
      <c r="NS2">
        <v>65637</v>
      </c>
      <c r="NT2">
        <v>37891</v>
      </c>
      <c r="NU2">
        <v>23539</v>
      </c>
      <c r="NV2">
        <v>182558.33</v>
      </c>
      <c r="NW2">
        <v>38030</v>
      </c>
      <c r="NX2">
        <v>1645</v>
      </c>
      <c r="NY2">
        <v>249066.95</v>
      </c>
      <c r="NZ2">
        <v>17524</v>
      </c>
      <c r="OA2">
        <v>33934.379999999997</v>
      </c>
      <c r="OB2">
        <v>54616</v>
      </c>
      <c r="OC2">
        <v>45072</v>
      </c>
      <c r="OD2">
        <v>2800</v>
      </c>
      <c r="OE2">
        <v>2800</v>
      </c>
      <c r="OF2">
        <v>0</v>
      </c>
      <c r="OG2">
        <v>0</v>
      </c>
      <c r="OH2">
        <v>0</v>
      </c>
      <c r="OI2">
        <v>182473</v>
      </c>
      <c r="OJ2">
        <v>173001.34</v>
      </c>
      <c r="OK2">
        <v>47538.99</v>
      </c>
      <c r="OL2">
        <v>191</v>
      </c>
      <c r="OM2">
        <v>579411.85</v>
      </c>
      <c r="ON2">
        <v>558</v>
      </c>
      <c r="OO2">
        <v>225</v>
      </c>
      <c r="OP2">
        <v>163</v>
      </c>
      <c r="OQ2">
        <v>158</v>
      </c>
      <c r="OR2">
        <v>571022.51</v>
      </c>
      <c r="OS2">
        <v>141</v>
      </c>
      <c r="OT2">
        <v>17</v>
      </c>
      <c r="OU2">
        <v>518520.51</v>
      </c>
      <c r="OV2">
        <v>52502</v>
      </c>
      <c r="OW2">
        <v>63</v>
      </c>
      <c r="OX2">
        <v>88</v>
      </c>
      <c r="OY2">
        <v>40</v>
      </c>
      <c r="OZ2">
        <v>0</v>
      </c>
      <c r="PA2">
        <v>27</v>
      </c>
      <c r="PB2">
        <v>15</v>
      </c>
      <c r="PC2">
        <v>13</v>
      </c>
      <c r="PD2">
        <v>11</v>
      </c>
      <c r="PE2">
        <v>73</v>
      </c>
      <c r="PF2">
        <v>18</v>
      </c>
      <c r="PG2">
        <v>1</v>
      </c>
      <c r="PH2">
        <v>84</v>
      </c>
      <c r="PI2">
        <v>11</v>
      </c>
      <c r="PJ2">
        <v>9</v>
      </c>
      <c r="PK2">
        <v>20</v>
      </c>
      <c r="PL2">
        <v>22</v>
      </c>
      <c r="PM2">
        <v>7</v>
      </c>
      <c r="PN2">
        <v>12</v>
      </c>
      <c r="PO2">
        <v>1</v>
      </c>
      <c r="PP2">
        <v>2</v>
      </c>
      <c r="PQ2">
        <v>1</v>
      </c>
      <c r="PR2">
        <v>71</v>
      </c>
      <c r="PS2">
        <v>58</v>
      </c>
      <c r="PT2">
        <v>25</v>
      </c>
      <c r="PU2">
        <v>215434.13</v>
      </c>
      <c r="PV2">
        <v>339658.38</v>
      </c>
      <c r="PW2">
        <v>24319.34</v>
      </c>
      <c r="PX2">
        <v>0</v>
      </c>
      <c r="PY2">
        <v>110175</v>
      </c>
      <c r="PZ2">
        <v>67422</v>
      </c>
      <c r="QA2">
        <v>63392</v>
      </c>
      <c r="QB2">
        <v>25482</v>
      </c>
      <c r="QC2">
        <v>195313.6</v>
      </c>
      <c r="QD2">
        <v>108737.91</v>
      </c>
      <c r="QE2">
        <v>500</v>
      </c>
      <c r="QF2">
        <v>291311.92</v>
      </c>
      <c r="QG2">
        <v>33205.68</v>
      </c>
      <c r="QH2">
        <v>20078.990000000002</v>
      </c>
      <c r="QI2">
        <v>88658</v>
      </c>
      <c r="QJ2">
        <v>67211.92</v>
      </c>
      <c r="QK2">
        <v>38876</v>
      </c>
      <c r="QL2">
        <v>70556</v>
      </c>
      <c r="QM2">
        <v>10277</v>
      </c>
      <c r="QN2">
        <v>12045</v>
      </c>
      <c r="QO2">
        <v>8000</v>
      </c>
      <c r="QP2">
        <v>286931.96999999997</v>
      </c>
      <c r="QQ2">
        <v>190913.58</v>
      </c>
      <c r="QR2">
        <v>62854.96</v>
      </c>
      <c r="QS2">
        <v>182</v>
      </c>
      <c r="QT2">
        <v>501956.85</v>
      </c>
      <c r="QU2">
        <v>496</v>
      </c>
      <c r="QV2">
        <v>203</v>
      </c>
      <c r="QW2">
        <v>163</v>
      </c>
      <c r="QX2">
        <v>149</v>
      </c>
      <c r="QY2">
        <v>493567.51</v>
      </c>
      <c r="QZ2">
        <v>132</v>
      </c>
      <c r="RA2">
        <v>17</v>
      </c>
      <c r="RB2">
        <v>441065.51</v>
      </c>
      <c r="RC2">
        <v>52502</v>
      </c>
      <c r="RD2">
        <v>59</v>
      </c>
      <c r="RE2">
        <v>83</v>
      </c>
      <c r="RF2">
        <v>40</v>
      </c>
      <c r="RG2">
        <v>0</v>
      </c>
      <c r="RH2">
        <v>24</v>
      </c>
      <c r="RI2">
        <v>14</v>
      </c>
      <c r="RJ2">
        <v>13</v>
      </c>
      <c r="RK2">
        <v>11</v>
      </c>
      <c r="RL2">
        <v>72</v>
      </c>
      <c r="RM2">
        <v>14</v>
      </c>
      <c r="RN2">
        <v>1</v>
      </c>
      <c r="RO2">
        <v>84</v>
      </c>
      <c r="RP2">
        <v>11</v>
      </c>
      <c r="RQ2">
        <v>8</v>
      </c>
      <c r="RR2">
        <v>15</v>
      </c>
      <c r="RS2">
        <v>22</v>
      </c>
      <c r="RT2">
        <v>5</v>
      </c>
      <c r="RU2">
        <v>10</v>
      </c>
      <c r="RV2">
        <v>0</v>
      </c>
      <c r="RW2">
        <v>0</v>
      </c>
      <c r="RX2">
        <v>0</v>
      </c>
      <c r="RY2">
        <v>68</v>
      </c>
      <c r="RZ2">
        <v>56</v>
      </c>
      <c r="SA2">
        <v>25</v>
      </c>
      <c r="SB2">
        <v>187220.13</v>
      </c>
      <c r="SC2">
        <v>290417.38</v>
      </c>
      <c r="SD2">
        <v>24319.34</v>
      </c>
      <c r="SE2">
        <v>0</v>
      </c>
      <c r="SF2">
        <v>87850</v>
      </c>
      <c r="SG2">
        <v>59422</v>
      </c>
      <c r="SH2">
        <v>63392</v>
      </c>
      <c r="SI2">
        <v>25482</v>
      </c>
      <c r="SJ2">
        <v>191167.6</v>
      </c>
      <c r="SK2">
        <v>65753.91</v>
      </c>
      <c r="SL2">
        <v>500</v>
      </c>
      <c r="SM2">
        <v>291311.92</v>
      </c>
      <c r="SN2">
        <v>33205.68</v>
      </c>
      <c r="SO2">
        <v>17353.990000000002</v>
      </c>
      <c r="SP2">
        <v>57798</v>
      </c>
      <c r="SQ2">
        <v>67211.92</v>
      </c>
      <c r="SR2">
        <v>18856</v>
      </c>
      <c r="SS2">
        <v>50536</v>
      </c>
      <c r="ST2">
        <v>0</v>
      </c>
      <c r="SU2">
        <v>0</v>
      </c>
      <c r="SV2">
        <v>0</v>
      </c>
      <c r="SW2">
        <v>248336.97</v>
      </c>
      <c r="SX2">
        <v>182375.58</v>
      </c>
      <c r="SY2">
        <v>62854.96</v>
      </c>
      <c r="SZ2">
        <v>98</v>
      </c>
      <c r="TA2">
        <v>339545.21</v>
      </c>
      <c r="TB2">
        <v>308</v>
      </c>
      <c r="TC2">
        <v>75</v>
      </c>
      <c r="TD2">
        <v>154</v>
      </c>
      <c r="TE2">
        <v>95</v>
      </c>
      <c r="TF2">
        <v>339147.21</v>
      </c>
      <c r="TG2">
        <v>81</v>
      </c>
      <c r="TH2">
        <v>14</v>
      </c>
      <c r="TI2">
        <v>293348.21000000002</v>
      </c>
      <c r="TJ2">
        <v>45799</v>
      </c>
      <c r="TK2">
        <v>37</v>
      </c>
      <c r="TL2">
        <v>54</v>
      </c>
      <c r="TM2">
        <v>7</v>
      </c>
      <c r="TN2">
        <v>0</v>
      </c>
      <c r="TO2">
        <v>14</v>
      </c>
      <c r="TP2">
        <v>12</v>
      </c>
      <c r="TQ2">
        <v>10</v>
      </c>
      <c r="TR2">
        <v>4</v>
      </c>
      <c r="TS2">
        <v>45</v>
      </c>
      <c r="TT2">
        <v>10</v>
      </c>
      <c r="TU2">
        <v>0</v>
      </c>
      <c r="TV2">
        <v>49</v>
      </c>
      <c r="TW2">
        <v>13</v>
      </c>
      <c r="TX2">
        <v>8</v>
      </c>
      <c r="TY2">
        <v>9</v>
      </c>
      <c r="TZ2">
        <v>13</v>
      </c>
      <c r="UA2">
        <v>3</v>
      </c>
      <c r="UB2">
        <v>3</v>
      </c>
      <c r="UC2">
        <v>5</v>
      </c>
      <c r="UD2">
        <v>4</v>
      </c>
      <c r="UE2">
        <v>3</v>
      </c>
      <c r="UF2">
        <v>36</v>
      </c>
      <c r="UG2">
        <v>32</v>
      </c>
      <c r="UH2">
        <v>15</v>
      </c>
      <c r="UI2">
        <v>129343.5</v>
      </c>
      <c r="UJ2">
        <v>199027.05</v>
      </c>
      <c r="UK2">
        <v>11174.66</v>
      </c>
      <c r="UL2">
        <v>0</v>
      </c>
      <c r="UM2">
        <v>62460.6</v>
      </c>
      <c r="UN2">
        <v>55561.5</v>
      </c>
      <c r="UO2">
        <v>50232</v>
      </c>
      <c r="UP2">
        <v>7997</v>
      </c>
      <c r="UQ2">
        <v>124885.11</v>
      </c>
      <c r="UR2">
        <v>38011</v>
      </c>
      <c r="US2">
        <v>0</v>
      </c>
      <c r="UT2">
        <v>186840.21</v>
      </c>
      <c r="UU2">
        <v>45732</v>
      </c>
      <c r="UV2">
        <v>18920</v>
      </c>
      <c r="UW2">
        <v>32199</v>
      </c>
      <c r="UX2">
        <v>42056</v>
      </c>
      <c r="UY2">
        <v>13400</v>
      </c>
      <c r="UZ2">
        <v>13400</v>
      </c>
      <c r="VA2">
        <v>20103</v>
      </c>
      <c r="VB2">
        <v>19056</v>
      </c>
      <c r="VC2">
        <v>24409</v>
      </c>
      <c r="VD2">
        <v>157683.60999999999</v>
      </c>
      <c r="VE2">
        <v>79911.600000000006</v>
      </c>
      <c r="VF2">
        <v>37984</v>
      </c>
      <c r="VG2">
        <v>79</v>
      </c>
      <c r="VH2">
        <v>237376.29</v>
      </c>
      <c r="VI2">
        <v>231</v>
      </c>
      <c r="VJ2">
        <v>52</v>
      </c>
      <c r="VK2">
        <v>129</v>
      </c>
      <c r="VL2">
        <v>76</v>
      </c>
      <c r="VM2">
        <v>236978.29</v>
      </c>
      <c r="VN2">
        <v>67</v>
      </c>
      <c r="VO2">
        <v>9</v>
      </c>
      <c r="VP2">
        <v>211911.29</v>
      </c>
      <c r="VQ2">
        <v>25067</v>
      </c>
      <c r="VR2">
        <v>28</v>
      </c>
      <c r="VS2">
        <v>44</v>
      </c>
      <c r="VT2">
        <v>7</v>
      </c>
      <c r="VU2">
        <v>0</v>
      </c>
      <c r="VV2">
        <v>9</v>
      </c>
      <c r="VW2">
        <v>11</v>
      </c>
      <c r="VX2">
        <v>9</v>
      </c>
      <c r="VY2">
        <v>3</v>
      </c>
      <c r="VZ2">
        <v>37</v>
      </c>
      <c r="WA2">
        <v>7</v>
      </c>
      <c r="WB2">
        <v>0</v>
      </c>
      <c r="WC2">
        <v>38</v>
      </c>
      <c r="WD2">
        <v>10</v>
      </c>
      <c r="WE2">
        <v>6</v>
      </c>
      <c r="WF2">
        <v>7</v>
      </c>
      <c r="WG2">
        <v>13</v>
      </c>
      <c r="WH2">
        <v>2</v>
      </c>
      <c r="WI2">
        <v>2</v>
      </c>
      <c r="WJ2">
        <v>0</v>
      </c>
      <c r="WK2">
        <v>0</v>
      </c>
      <c r="WL2">
        <v>0</v>
      </c>
      <c r="WM2">
        <v>32</v>
      </c>
      <c r="WN2">
        <v>29</v>
      </c>
      <c r="WO2">
        <v>15</v>
      </c>
      <c r="WP2">
        <v>86193.5</v>
      </c>
      <c r="WQ2">
        <v>140008.13</v>
      </c>
      <c r="WR2">
        <v>11174.66</v>
      </c>
      <c r="WS2">
        <v>0</v>
      </c>
      <c r="WT2">
        <v>29682.68</v>
      </c>
      <c r="WU2">
        <v>43429.5</v>
      </c>
      <c r="WV2">
        <v>41232</v>
      </c>
      <c r="WW2">
        <v>4934</v>
      </c>
      <c r="WX2">
        <v>93583.11</v>
      </c>
      <c r="WY2">
        <v>24117</v>
      </c>
      <c r="WZ2">
        <v>0</v>
      </c>
      <c r="XA2">
        <v>125028.29</v>
      </c>
      <c r="XB2">
        <v>30147</v>
      </c>
      <c r="XC2">
        <v>10645</v>
      </c>
      <c r="XD2">
        <v>24702</v>
      </c>
      <c r="XE2">
        <v>42056</v>
      </c>
      <c r="XF2">
        <v>4400</v>
      </c>
      <c r="XG2">
        <v>4400</v>
      </c>
      <c r="XH2">
        <v>0</v>
      </c>
      <c r="XI2">
        <v>0</v>
      </c>
      <c r="XJ2">
        <v>0</v>
      </c>
      <c r="XK2">
        <v>130020.61</v>
      </c>
      <c r="XL2">
        <v>68973.679999999993</v>
      </c>
      <c r="XM2">
        <v>37984</v>
      </c>
      <c r="XN2">
        <v>429</v>
      </c>
      <c r="XO2">
        <v>1274092.83</v>
      </c>
      <c r="XP2">
        <v>1222</v>
      </c>
      <c r="XQ2">
        <v>503</v>
      </c>
      <c r="XR2">
        <v>376</v>
      </c>
      <c r="XS2">
        <v>377</v>
      </c>
      <c r="XT2">
        <v>1259884.6000000001</v>
      </c>
      <c r="XU2">
        <v>342</v>
      </c>
      <c r="XV2">
        <v>35</v>
      </c>
      <c r="XW2">
        <v>1160310.6000000001</v>
      </c>
      <c r="XX2">
        <v>99574</v>
      </c>
      <c r="XY2">
        <v>143</v>
      </c>
      <c r="XZ2">
        <v>214</v>
      </c>
      <c r="YA2">
        <v>74</v>
      </c>
      <c r="YB2">
        <v>0</v>
      </c>
      <c r="YC2">
        <v>54</v>
      </c>
      <c r="YD2">
        <v>38</v>
      </c>
      <c r="YE2">
        <v>27</v>
      </c>
      <c r="YF2">
        <v>36</v>
      </c>
      <c r="YG2">
        <v>180</v>
      </c>
      <c r="YH2">
        <v>40</v>
      </c>
      <c r="YI2">
        <v>2</v>
      </c>
      <c r="YJ2">
        <v>217</v>
      </c>
      <c r="YK2">
        <v>25</v>
      </c>
      <c r="YL2">
        <v>25</v>
      </c>
      <c r="YM2">
        <v>44</v>
      </c>
      <c r="YN2">
        <v>51</v>
      </c>
      <c r="YO2">
        <v>9</v>
      </c>
      <c r="YP2">
        <v>15</v>
      </c>
      <c r="YQ2">
        <v>1</v>
      </c>
      <c r="YR2">
        <v>4</v>
      </c>
      <c r="YS2">
        <v>1</v>
      </c>
      <c r="YT2">
        <v>164</v>
      </c>
      <c r="YU2">
        <v>153</v>
      </c>
      <c r="YV2">
        <v>54</v>
      </c>
      <c r="YW2">
        <v>484510.88</v>
      </c>
      <c r="YX2">
        <v>729610.72</v>
      </c>
      <c r="YY2">
        <v>64512.23</v>
      </c>
      <c r="YZ2">
        <v>0</v>
      </c>
      <c r="ZA2">
        <v>209655</v>
      </c>
      <c r="ZB2">
        <v>167850</v>
      </c>
      <c r="ZC2">
        <v>127497.8</v>
      </c>
      <c r="ZD2">
        <v>89260</v>
      </c>
      <c r="ZE2">
        <v>469300.89</v>
      </c>
      <c r="ZF2">
        <v>194175.91</v>
      </c>
      <c r="ZG2">
        <v>2145</v>
      </c>
      <c r="ZH2">
        <v>714369.87</v>
      </c>
      <c r="ZI2">
        <v>80102.679999999993</v>
      </c>
      <c r="ZJ2">
        <v>60781.37</v>
      </c>
      <c r="ZK2">
        <v>177034.76</v>
      </c>
      <c r="ZL2">
        <v>145834.92000000001</v>
      </c>
      <c r="ZM2">
        <v>48481</v>
      </c>
      <c r="ZN2">
        <v>81761</v>
      </c>
      <c r="ZO2">
        <v>10277</v>
      </c>
      <c r="ZP2">
        <v>21753</v>
      </c>
      <c r="ZQ2">
        <v>8000</v>
      </c>
      <c r="ZR2">
        <v>606583.97</v>
      </c>
      <c r="ZS2">
        <v>477918.68</v>
      </c>
      <c r="ZT2">
        <v>135351.95000000001</v>
      </c>
      <c r="ZU2">
        <v>416</v>
      </c>
      <c r="ZV2">
        <v>1164557.83</v>
      </c>
      <c r="ZW2">
        <v>1141</v>
      </c>
      <c r="ZX2">
        <v>462</v>
      </c>
      <c r="ZY2">
        <v>376</v>
      </c>
      <c r="ZZ2">
        <v>364</v>
      </c>
      <c r="AAA2">
        <v>1150349.6000000001</v>
      </c>
      <c r="AAB2">
        <v>329</v>
      </c>
      <c r="AAC2">
        <v>35</v>
      </c>
      <c r="AAD2">
        <v>1050775.6000000001</v>
      </c>
      <c r="AAE2">
        <v>99574</v>
      </c>
      <c r="AAF2">
        <v>136</v>
      </c>
      <c r="AAG2">
        <v>209</v>
      </c>
      <c r="AAH2">
        <v>73</v>
      </c>
      <c r="AAI2">
        <v>0</v>
      </c>
      <c r="AAJ2">
        <v>50</v>
      </c>
      <c r="AAK2">
        <v>37</v>
      </c>
      <c r="AAL2">
        <v>26</v>
      </c>
      <c r="AAM2">
        <v>35</v>
      </c>
      <c r="AAN2">
        <v>179</v>
      </c>
      <c r="AAO2">
        <v>35</v>
      </c>
      <c r="AAP2">
        <v>2</v>
      </c>
      <c r="AAQ2">
        <v>214</v>
      </c>
      <c r="AAR2">
        <v>25</v>
      </c>
      <c r="AAS2">
        <v>24</v>
      </c>
      <c r="AAT2">
        <v>38</v>
      </c>
      <c r="AAU2">
        <v>51</v>
      </c>
      <c r="AAV2">
        <v>7</v>
      </c>
      <c r="AAW2">
        <v>13</v>
      </c>
      <c r="AAX2">
        <v>0</v>
      </c>
      <c r="AAY2">
        <v>0</v>
      </c>
      <c r="AAZ2">
        <v>0</v>
      </c>
      <c r="ABA2">
        <v>159</v>
      </c>
      <c r="ABB2">
        <v>151</v>
      </c>
      <c r="ABC2">
        <v>54</v>
      </c>
      <c r="ABD2">
        <v>431160.88</v>
      </c>
      <c r="ABE2">
        <v>680369.72</v>
      </c>
      <c r="ABF2">
        <v>57568.23</v>
      </c>
      <c r="ABG2">
        <v>0</v>
      </c>
      <c r="ABH2">
        <v>171902</v>
      </c>
      <c r="ABI2">
        <v>159850</v>
      </c>
      <c r="ABJ2">
        <v>120553.8</v>
      </c>
      <c r="ABK2">
        <v>84790</v>
      </c>
      <c r="ABL2">
        <v>465154.89</v>
      </c>
      <c r="ABM2">
        <v>145953.91</v>
      </c>
      <c r="ABN2">
        <v>2145</v>
      </c>
      <c r="ABO2">
        <v>697717.87</v>
      </c>
      <c r="ABP2">
        <v>80102.679999999993</v>
      </c>
      <c r="ABQ2">
        <v>58056.37</v>
      </c>
      <c r="ABR2">
        <v>130746.76</v>
      </c>
      <c r="ABS2">
        <v>145834.92000000001</v>
      </c>
      <c r="ABT2">
        <v>28461</v>
      </c>
      <c r="ABU2">
        <v>61741</v>
      </c>
      <c r="ABV2">
        <v>0</v>
      </c>
      <c r="ABW2">
        <v>0</v>
      </c>
      <c r="ABX2">
        <v>0</v>
      </c>
      <c r="ABY2">
        <v>545616.97</v>
      </c>
      <c r="ABZ2">
        <v>469380.68</v>
      </c>
      <c r="ACA2">
        <v>135351.95000000001</v>
      </c>
      <c r="ACB2">
        <v>314</v>
      </c>
      <c r="ACC2">
        <v>1181956.93</v>
      </c>
      <c r="ACD2">
        <v>941</v>
      </c>
      <c r="ACE2">
        <v>309</v>
      </c>
      <c r="ACF2">
        <v>416</v>
      </c>
      <c r="ACG2">
        <v>305</v>
      </c>
      <c r="ACH2">
        <v>1179629.93</v>
      </c>
      <c r="ACI2">
        <v>272</v>
      </c>
      <c r="ACJ2">
        <v>33</v>
      </c>
      <c r="ACK2">
        <v>1074437.3500000001</v>
      </c>
      <c r="ACL2">
        <v>105192.58</v>
      </c>
      <c r="ACM2">
        <v>136</v>
      </c>
      <c r="ACN2">
        <v>156</v>
      </c>
      <c r="ACO2">
        <v>20</v>
      </c>
      <c r="ACP2">
        <v>1</v>
      </c>
      <c r="ACQ2">
        <v>46</v>
      </c>
      <c r="ACR2">
        <v>23</v>
      </c>
      <c r="ACS2">
        <v>29</v>
      </c>
      <c r="ACT2">
        <v>15</v>
      </c>
      <c r="ACU2">
        <v>150</v>
      </c>
      <c r="ACV2">
        <v>39</v>
      </c>
      <c r="ACW2">
        <v>3</v>
      </c>
      <c r="ACX2">
        <v>175</v>
      </c>
      <c r="ACY2">
        <v>27</v>
      </c>
      <c r="ACZ2">
        <v>16</v>
      </c>
      <c r="ADA2">
        <v>40</v>
      </c>
      <c r="ADB2">
        <v>39</v>
      </c>
      <c r="ADC2">
        <v>8</v>
      </c>
      <c r="ADD2">
        <v>8</v>
      </c>
      <c r="ADE2">
        <v>13</v>
      </c>
      <c r="ADF2">
        <v>34</v>
      </c>
      <c r="ADG2">
        <v>13</v>
      </c>
      <c r="ADH2">
        <v>100</v>
      </c>
      <c r="ADI2">
        <v>106</v>
      </c>
      <c r="ADJ2">
        <v>39</v>
      </c>
      <c r="ADK2">
        <v>551952.66</v>
      </c>
      <c r="ADL2">
        <v>580086.05000000005</v>
      </c>
      <c r="ADM2">
        <v>38886.660000000003</v>
      </c>
      <c r="ADN2">
        <v>10296.56</v>
      </c>
      <c r="ADO2">
        <v>202138.28</v>
      </c>
      <c r="ADP2">
        <v>119853.5</v>
      </c>
      <c r="ADQ2">
        <v>150041.92000000001</v>
      </c>
      <c r="ADR2">
        <v>38964</v>
      </c>
      <c r="ADS2">
        <v>484669.67</v>
      </c>
      <c r="ADT2">
        <v>168326</v>
      </c>
      <c r="ADU2">
        <v>15636.56</v>
      </c>
      <c r="ADV2">
        <v>745803.13</v>
      </c>
      <c r="ADW2">
        <v>90972.68</v>
      </c>
      <c r="ADX2">
        <v>35154</v>
      </c>
      <c r="ADY2">
        <v>171968.56</v>
      </c>
      <c r="ADZ2">
        <v>109448.56</v>
      </c>
      <c r="AEA2">
        <v>26283</v>
      </c>
      <c r="AEB2">
        <v>26283</v>
      </c>
      <c r="AEC2">
        <v>59708.2</v>
      </c>
      <c r="AED2">
        <v>195422</v>
      </c>
      <c r="AEE2">
        <v>95261.52</v>
      </c>
      <c r="AEF2">
        <v>418004.97</v>
      </c>
      <c r="AEG2">
        <v>322533.06</v>
      </c>
      <c r="AEH2">
        <v>88700.18</v>
      </c>
      <c r="AEI2">
        <v>230</v>
      </c>
      <c r="AEJ2">
        <v>699177.29</v>
      </c>
      <c r="AEK2">
        <v>641</v>
      </c>
      <c r="AEL2">
        <v>157</v>
      </c>
      <c r="AEM2">
        <v>338</v>
      </c>
      <c r="AEN2">
        <v>221</v>
      </c>
      <c r="AEO2">
        <v>696850.29</v>
      </c>
      <c r="AEP2">
        <v>196</v>
      </c>
      <c r="AEQ2">
        <v>25</v>
      </c>
      <c r="AER2">
        <v>628277.71</v>
      </c>
      <c r="AES2">
        <v>68572.58</v>
      </c>
      <c r="AET2">
        <v>81</v>
      </c>
      <c r="AEU2">
        <v>128</v>
      </c>
      <c r="AEV2">
        <v>19</v>
      </c>
      <c r="AEW2">
        <v>1</v>
      </c>
      <c r="AEX2">
        <v>30</v>
      </c>
      <c r="AEY2">
        <v>17</v>
      </c>
      <c r="AEZ2">
        <v>23</v>
      </c>
      <c r="AFA2">
        <v>13</v>
      </c>
      <c r="AFB2">
        <v>111</v>
      </c>
      <c r="AFC2">
        <v>25</v>
      </c>
      <c r="AFD2">
        <v>2</v>
      </c>
      <c r="AFE2">
        <v>112</v>
      </c>
      <c r="AFF2">
        <v>22</v>
      </c>
      <c r="AFG2">
        <v>12</v>
      </c>
      <c r="AFH2">
        <v>29</v>
      </c>
      <c r="AFI2">
        <v>39</v>
      </c>
      <c r="AFJ2">
        <v>7</v>
      </c>
      <c r="AFK2">
        <v>7</v>
      </c>
      <c r="AFL2">
        <v>0</v>
      </c>
      <c r="AFM2">
        <v>0</v>
      </c>
      <c r="AFN2">
        <v>0</v>
      </c>
      <c r="AFO2">
        <v>91</v>
      </c>
      <c r="AFP2">
        <v>91</v>
      </c>
      <c r="AFQ2">
        <v>39</v>
      </c>
      <c r="AFR2">
        <v>242365.14</v>
      </c>
      <c r="AFS2">
        <v>410353.93</v>
      </c>
      <c r="AFT2">
        <v>35426.660000000003</v>
      </c>
      <c r="AFU2">
        <v>10296.56</v>
      </c>
      <c r="AFV2">
        <v>110809.16</v>
      </c>
      <c r="AFW2">
        <v>67123.5</v>
      </c>
      <c r="AFX2">
        <v>103539</v>
      </c>
      <c r="AFY2">
        <v>32788</v>
      </c>
      <c r="AFZ2">
        <v>285245.07</v>
      </c>
      <c r="AGA2">
        <v>85169</v>
      </c>
      <c r="AGB2">
        <v>12176.56</v>
      </c>
      <c r="AGC2">
        <v>373973.89</v>
      </c>
      <c r="AGD2">
        <v>66573.279999999999</v>
      </c>
      <c r="AGE2">
        <v>21101</v>
      </c>
      <c r="AGF2">
        <v>108470.56</v>
      </c>
      <c r="AGG2">
        <v>109448.56</v>
      </c>
      <c r="AGH2">
        <v>17283</v>
      </c>
      <c r="AGI2">
        <v>17283</v>
      </c>
      <c r="AGJ2">
        <v>0</v>
      </c>
      <c r="AGK2">
        <v>0</v>
      </c>
      <c r="AGL2">
        <v>0</v>
      </c>
      <c r="AGM2">
        <v>356542.97</v>
      </c>
      <c r="AGN2">
        <v>251607.14</v>
      </c>
      <c r="AGO2">
        <v>88700.18</v>
      </c>
      <c r="AGP2">
        <v>6059</v>
      </c>
      <c r="AGQ2">
        <v>24866780.25</v>
      </c>
      <c r="AGR2">
        <v>20282</v>
      </c>
      <c r="AGS2">
        <v>8778</v>
      </c>
      <c r="AGT2">
        <v>4733</v>
      </c>
      <c r="AGU2">
        <v>5653</v>
      </c>
      <c r="AGV2">
        <v>24733871.780000001</v>
      </c>
      <c r="AGW2">
        <v>4776</v>
      </c>
      <c r="AGX2">
        <v>877</v>
      </c>
      <c r="AGY2">
        <v>21434686.82</v>
      </c>
      <c r="AGZ2">
        <v>3299184.96</v>
      </c>
      <c r="AHA2">
        <v>2463</v>
      </c>
      <c r="AHB2">
        <v>2884</v>
      </c>
      <c r="AHC2">
        <v>675</v>
      </c>
      <c r="AHD2">
        <v>38</v>
      </c>
      <c r="AHE2">
        <v>783</v>
      </c>
      <c r="AHF2">
        <v>575</v>
      </c>
      <c r="AHG2">
        <v>653</v>
      </c>
      <c r="AHH2">
        <v>285</v>
      </c>
      <c r="AHI2">
        <v>2364</v>
      </c>
      <c r="AHJ2">
        <v>940</v>
      </c>
      <c r="AHK2">
        <v>53</v>
      </c>
      <c r="AHL2">
        <v>2846</v>
      </c>
      <c r="AHM2">
        <v>514</v>
      </c>
      <c r="AHN2">
        <v>351</v>
      </c>
      <c r="AHO2">
        <v>724</v>
      </c>
      <c r="AHP2">
        <v>825</v>
      </c>
      <c r="AHQ2">
        <v>176</v>
      </c>
      <c r="AHR2">
        <v>393</v>
      </c>
      <c r="AHS2">
        <v>658</v>
      </c>
      <c r="AHT2">
        <v>1117</v>
      </c>
      <c r="AHU2">
        <v>1072</v>
      </c>
      <c r="AHV2">
        <v>1359</v>
      </c>
      <c r="AHW2">
        <v>1117</v>
      </c>
      <c r="AHX2">
        <v>264</v>
      </c>
      <c r="AHY2">
        <v>11201304.1</v>
      </c>
      <c r="AHZ2">
        <v>12264983.949999999</v>
      </c>
      <c r="AIA2">
        <v>1169555.46</v>
      </c>
      <c r="AIB2">
        <v>256026.74</v>
      </c>
      <c r="AIC2">
        <v>3859398.06</v>
      </c>
      <c r="AID2">
        <v>3431780.41</v>
      </c>
      <c r="AIE2">
        <v>4240778.97</v>
      </c>
      <c r="AIF2">
        <v>807472.26</v>
      </c>
      <c r="AIG2">
        <v>7219881.5199999996</v>
      </c>
      <c r="AIH2">
        <v>5071684.43</v>
      </c>
      <c r="AII2">
        <v>102876.13</v>
      </c>
      <c r="AIJ2">
        <v>12501780.859999999</v>
      </c>
      <c r="AIK2">
        <v>2034150.34</v>
      </c>
      <c r="AIL2">
        <v>1189913.6499999999</v>
      </c>
      <c r="AIM2">
        <v>3814852.15</v>
      </c>
      <c r="AIN2">
        <v>3254630.18</v>
      </c>
      <c r="AIO2">
        <v>960449.92</v>
      </c>
      <c r="AIP2">
        <v>1938544.6</v>
      </c>
      <c r="AIQ2">
        <v>1803990.04</v>
      </c>
      <c r="AIR2">
        <v>4256545.8600000003</v>
      </c>
      <c r="AIS2">
        <v>6351130.1699999999</v>
      </c>
      <c r="AIT2">
        <v>7620971.7400000002</v>
      </c>
      <c r="AIU2">
        <v>3941940.95</v>
      </c>
      <c r="AIV2">
        <v>624545.32999999996</v>
      </c>
      <c r="AIW2">
        <v>6038</v>
      </c>
      <c r="AIX2">
        <v>24718005.25</v>
      </c>
      <c r="AIY2">
        <v>20143</v>
      </c>
      <c r="AIZ2">
        <v>8733</v>
      </c>
      <c r="AJA2">
        <v>4731</v>
      </c>
      <c r="AJB2">
        <v>5633</v>
      </c>
      <c r="AJC2">
        <v>24585096.780000001</v>
      </c>
      <c r="AJD2">
        <v>4756</v>
      </c>
      <c r="AJE2">
        <v>877</v>
      </c>
      <c r="AJF2">
        <v>21285911.82</v>
      </c>
      <c r="AJG2">
        <v>3299184.96</v>
      </c>
      <c r="AJH2">
        <v>2453</v>
      </c>
      <c r="AJI2">
        <v>2877</v>
      </c>
      <c r="AJJ2">
        <v>671</v>
      </c>
      <c r="AJK2">
        <v>38</v>
      </c>
      <c r="AJL2">
        <v>777</v>
      </c>
      <c r="AJM2">
        <v>574</v>
      </c>
      <c r="AJN2">
        <v>650</v>
      </c>
      <c r="AJO2">
        <v>284</v>
      </c>
      <c r="AJP2">
        <v>2362</v>
      </c>
      <c r="AJQ2">
        <v>933</v>
      </c>
      <c r="AJR2">
        <v>53</v>
      </c>
      <c r="AJS2">
        <v>2842</v>
      </c>
      <c r="AJT2">
        <v>514</v>
      </c>
      <c r="AJU2">
        <v>347</v>
      </c>
      <c r="AJV2">
        <v>718</v>
      </c>
      <c r="AJW2">
        <v>825</v>
      </c>
      <c r="AJX2">
        <v>173</v>
      </c>
      <c r="AJY2">
        <v>390</v>
      </c>
      <c r="AJZ2">
        <v>654</v>
      </c>
      <c r="AKA2">
        <v>1113</v>
      </c>
      <c r="AKB2">
        <v>1067</v>
      </c>
      <c r="AKC2">
        <v>1354</v>
      </c>
      <c r="AKD2">
        <v>1115</v>
      </c>
      <c r="AKE2">
        <v>264</v>
      </c>
      <c r="AKF2">
        <v>11133209.1</v>
      </c>
      <c r="AKG2">
        <v>12207327.949999999</v>
      </c>
      <c r="AKH2">
        <v>1146531.46</v>
      </c>
      <c r="AKI2">
        <v>256026.74</v>
      </c>
      <c r="AKJ2">
        <v>3806275.06</v>
      </c>
      <c r="AKK2">
        <v>3423780.41</v>
      </c>
      <c r="AKL2">
        <v>4222514.97</v>
      </c>
      <c r="AKM2">
        <v>803002.26</v>
      </c>
      <c r="AKN2">
        <v>7212145.5199999996</v>
      </c>
      <c r="AKO2">
        <v>5014502.43</v>
      </c>
      <c r="AKP2">
        <v>102876.13</v>
      </c>
      <c r="AKQ2">
        <v>12479248.859999999</v>
      </c>
      <c r="AKR2">
        <v>2034150.34</v>
      </c>
      <c r="AKS2">
        <v>1178148.6499999999</v>
      </c>
      <c r="AKT2">
        <v>3768564.15</v>
      </c>
      <c r="AKU2">
        <v>3254630.18</v>
      </c>
      <c r="AKV2">
        <v>935604.92</v>
      </c>
      <c r="AKW2">
        <v>1913699.6</v>
      </c>
      <c r="AKX2">
        <v>1784673.04</v>
      </c>
      <c r="AKY2">
        <v>4234792.8600000003</v>
      </c>
      <c r="AKZ2">
        <v>6312930.1699999999</v>
      </c>
      <c r="ALA2">
        <v>7560004.7400000002</v>
      </c>
      <c r="ALB2">
        <v>3933402.95</v>
      </c>
      <c r="ALC2">
        <v>624545.32999999996</v>
      </c>
      <c r="ALD2">
        <v>5726</v>
      </c>
      <c r="ALE2">
        <v>24030293.440000001</v>
      </c>
      <c r="ALF2">
        <v>18949</v>
      </c>
      <c r="ALG2">
        <v>7053</v>
      </c>
      <c r="ALH2">
        <v>6425</v>
      </c>
      <c r="ALI2">
        <v>5672</v>
      </c>
      <c r="ALJ2">
        <v>24022932.440000001</v>
      </c>
      <c r="ALK2">
        <v>4728</v>
      </c>
      <c r="ALL2">
        <v>944</v>
      </c>
      <c r="ALM2">
        <v>20517021.82</v>
      </c>
      <c r="ALN2">
        <v>3505910.62</v>
      </c>
      <c r="ALO2">
        <v>2302</v>
      </c>
      <c r="ALP2">
        <v>3125</v>
      </c>
      <c r="ALQ2">
        <v>249</v>
      </c>
      <c r="ALR2">
        <v>44</v>
      </c>
      <c r="ALS2">
        <v>789</v>
      </c>
      <c r="ALT2">
        <v>567</v>
      </c>
      <c r="ALU2">
        <v>570</v>
      </c>
      <c r="ALV2">
        <v>363</v>
      </c>
      <c r="ALW2">
        <v>2447</v>
      </c>
      <c r="ALX2">
        <v>899</v>
      </c>
      <c r="ALY2">
        <v>37</v>
      </c>
      <c r="ALZ2">
        <v>2692</v>
      </c>
      <c r="AMA2">
        <v>578</v>
      </c>
      <c r="AMB2">
        <v>378</v>
      </c>
      <c r="AMC2">
        <v>957</v>
      </c>
      <c r="AMD2">
        <v>813</v>
      </c>
      <c r="AME2">
        <v>250</v>
      </c>
      <c r="AMF2">
        <v>250</v>
      </c>
      <c r="AMG2">
        <v>783</v>
      </c>
      <c r="AMH2">
        <v>1121</v>
      </c>
      <c r="AMI2">
        <v>1179</v>
      </c>
      <c r="AMJ2">
        <v>1120</v>
      </c>
      <c r="AMK2">
        <v>1145</v>
      </c>
      <c r="AML2">
        <v>246</v>
      </c>
      <c r="AMM2">
        <v>10091834.85</v>
      </c>
      <c r="AMN2">
        <v>12788475.140000001</v>
      </c>
      <c r="AMO2">
        <v>926980.96</v>
      </c>
      <c r="AMP2">
        <v>228564.1</v>
      </c>
      <c r="AMQ2">
        <v>3935085.51</v>
      </c>
      <c r="AMR2">
        <v>3414042.31</v>
      </c>
      <c r="AMS2">
        <v>3542810.19</v>
      </c>
      <c r="AMT2">
        <v>1013177.55</v>
      </c>
      <c r="AMU2">
        <v>7461838.0600000098</v>
      </c>
      <c r="AMV2">
        <v>4559494.46</v>
      </c>
      <c r="AMW2">
        <v>96484.36</v>
      </c>
      <c r="AMX2">
        <v>11983104.960000001</v>
      </c>
      <c r="AMY2">
        <v>2226991.16</v>
      </c>
      <c r="AMZ2">
        <v>1100189.28</v>
      </c>
      <c r="ANA2">
        <v>4576740.58</v>
      </c>
      <c r="ANB2">
        <v>2952570.14</v>
      </c>
      <c r="ANC2">
        <v>1150157.57</v>
      </c>
      <c r="AND2">
        <v>1150157.57</v>
      </c>
      <c r="ANE2">
        <v>2245899.52</v>
      </c>
      <c r="ANF2">
        <v>4180769.48</v>
      </c>
      <c r="ANG2">
        <v>6566051.6500000004</v>
      </c>
      <c r="ANH2">
        <v>6429758.1100000003</v>
      </c>
      <c r="ANI2">
        <v>3877289.33</v>
      </c>
      <c r="ANJ2">
        <v>581289.86</v>
      </c>
      <c r="ANK2">
        <v>5534</v>
      </c>
      <c r="ANL2">
        <v>22995640.68</v>
      </c>
      <c r="ANM2">
        <v>18307</v>
      </c>
      <c r="ANN2">
        <v>6694</v>
      </c>
      <c r="ANO2">
        <v>6260</v>
      </c>
      <c r="ANP2">
        <v>5480</v>
      </c>
      <c r="ANQ2">
        <v>22988279.68</v>
      </c>
      <c r="ANR2">
        <v>4544</v>
      </c>
      <c r="ANS2">
        <v>936</v>
      </c>
      <c r="ANT2">
        <v>19518989.059999999</v>
      </c>
      <c r="ANU2">
        <v>3469290.62</v>
      </c>
      <c r="ANV2">
        <v>2175</v>
      </c>
      <c r="ANW2">
        <v>3067</v>
      </c>
      <c r="ANX2">
        <v>242</v>
      </c>
      <c r="ANY2">
        <v>44</v>
      </c>
      <c r="ANZ2">
        <v>761</v>
      </c>
      <c r="AOA2">
        <v>546</v>
      </c>
      <c r="AOB2">
        <v>563</v>
      </c>
      <c r="AOC2">
        <v>357</v>
      </c>
      <c r="AOD2">
        <v>2351</v>
      </c>
      <c r="AOE2">
        <v>866</v>
      </c>
      <c r="AOF2">
        <v>36</v>
      </c>
      <c r="AOG2">
        <v>2537</v>
      </c>
      <c r="AOH2">
        <v>570</v>
      </c>
      <c r="AOI2">
        <v>372</v>
      </c>
      <c r="AOJ2">
        <v>936</v>
      </c>
      <c r="AOK2">
        <v>813</v>
      </c>
      <c r="AOL2">
        <v>248</v>
      </c>
      <c r="AOM2">
        <v>248</v>
      </c>
      <c r="AON2">
        <v>740</v>
      </c>
      <c r="AOO2">
        <v>1039</v>
      </c>
      <c r="AOP2">
        <v>1151</v>
      </c>
      <c r="AOQ2">
        <v>1107</v>
      </c>
      <c r="AOR2">
        <v>1120</v>
      </c>
      <c r="AOS2">
        <v>246</v>
      </c>
      <c r="AOT2">
        <v>9393668.8400000092</v>
      </c>
      <c r="AOU2">
        <v>12496076.35</v>
      </c>
      <c r="AOV2">
        <v>882893</v>
      </c>
      <c r="AOW2">
        <v>228564.1</v>
      </c>
      <c r="AOX2">
        <v>3737348.39</v>
      </c>
      <c r="AOY2">
        <v>3281944.26</v>
      </c>
      <c r="AOZ2">
        <v>3492479.27</v>
      </c>
      <c r="APA2">
        <v>993402.55</v>
      </c>
      <c r="APB2">
        <v>7016565.6700000102</v>
      </c>
      <c r="APC2">
        <v>4373515.18</v>
      </c>
      <c r="APD2">
        <v>93024.36</v>
      </c>
      <c r="APE2">
        <v>11129989.6</v>
      </c>
      <c r="APF2">
        <v>2194061.7599999998</v>
      </c>
      <c r="APG2">
        <v>1081336.28</v>
      </c>
      <c r="APH2">
        <v>4466885.58</v>
      </c>
      <c r="API2">
        <v>2952570.14</v>
      </c>
      <c r="APJ2">
        <v>1130257.57</v>
      </c>
      <c r="APK2">
        <v>1130257.57</v>
      </c>
      <c r="APL2">
        <v>2076050.61</v>
      </c>
      <c r="APM2">
        <v>3744459.48</v>
      </c>
      <c r="APN2">
        <v>6342916.5199999996</v>
      </c>
      <c r="APO2">
        <v>6340839.1100000003</v>
      </c>
      <c r="APP2">
        <v>3762510.61</v>
      </c>
      <c r="APQ2">
        <v>581289.86</v>
      </c>
      <c r="APR2">
        <v>2172</v>
      </c>
      <c r="APS2">
        <v>175</v>
      </c>
      <c r="APT2">
        <v>2172</v>
      </c>
      <c r="APU2">
        <v>121</v>
      </c>
      <c r="APV2">
        <v>2551</v>
      </c>
      <c r="APW2">
        <v>172</v>
      </c>
      <c r="APX2">
        <v>2551</v>
      </c>
      <c r="APY2">
        <v>132</v>
      </c>
      <c r="APZ2">
        <v>273</v>
      </c>
      <c r="AQA2">
        <v>82</v>
      </c>
      <c r="AQB2">
        <v>273</v>
      </c>
      <c r="AQC2">
        <v>50</v>
      </c>
      <c r="AQD2">
        <v>6020</v>
      </c>
      <c r="AQE2">
        <v>438</v>
      </c>
      <c r="AQF2">
        <v>6020</v>
      </c>
      <c r="AQG2">
        <v>320</v>
      </c>
      <c r="AQH2">
        <v>757</v>
      </c>
      <c r="AQI2">
        <v>252</v>
      </c>
      <c r="AQJ2">
        <v>757</v>
      </c>
      <c r="AQK2">
        <v>168</v>
      </c>
      <c r="AQL2">
        <v>45785</v>
      </c>
      <c r="AQM2">
        <v>5605</v>
      </c>
      <c r="AQN2">
        <v>45785</v>
      </c>
      <c r="AQO2">
        <v>4785</v>
      </c>
      <c r="AQP2">
        <v>13939</v>
      </c>
      <c r="AQQ2">
        <v>4450</v>
      </c>
      <c r="AQR2">
        <v>13939</v>
      </c>
      <c r="AQS2">
        <v>3999</v>
      </c>
      <c r="AQT2">
        <v>13</v>
      </c>
      <c r="AQU2">
        <v>49</v>
      </c>
      <c r="AQV2">
        <v>208251</v>
      </c>
      <c r="AQW2">
        <v>13</v>
      </c>
      <c r="AQX2">
        <v>8</v>
      </c>
      <c r="AQY2">
        <v>15388</v>
      </c>
      <c r="AQZ2">
        <v>9</v>
      </c>
      <c r="ARA2">
        <v>33</v>
      </c>
      <c r="ARB2">
        <v>161430</v>
      </c>
      <c r="ARC2">
        <v>9</v>
      </c>
      <c r="ARD2">
        <v>3</v>
      </c>
      <c r="ARE2">
        <v>4187</v>
      </c>
      <c r="ARF2">
        <v>6</v>
      </c>
      <c r="ARG2">
        <v>0</v>
      </c>
      <c r="ARH2">
        <v>0</v>
      </c>
      <c r="ARI2">
        <v>6</v>
      </c>
      <c r="ARJ2">
        <v>0</v>
      </c>
      <c r="ARK2">
        <v>0</v>
      </c>
      <c r="ARL2">
        <v>28</v>
      </c>
      <c r="ARM2">
        <v>115</v>
      </c>
      <c r="ARN2">
        <v>518767</v>
      </c>
      <c r="ARO2">
        <v>28</v>
      </c>
      <c r="ARP2">
        <v>22</v>
      </c>
      <c r="ARQ2">
        <v>39197</v>
      </c>
      <c r="ARR2">
        <v>25</v>
      </c>
      <c r="ARS2">
        <v>0</v>
      </c>
      <c r="ART2">
        <v>0</v>
      </c>
      <c r="ARU2">
        <v>25</v>
      </c>
      <c r="ARV2">
        <v>0</v>
      </c>
      <c r="ARW2">
        <v>0</v>
      </c>
      <c r="ARX2">
        <v>771</v>
      </c>
      <c r="ARY2">
        <v>511</v>
      </c>
      <c r="ARZ2">
        <v>2556863</v>
      </c>
      <c r="ASA2">
        <v>771</v>
      </c>
      <c r="ASB2">
        <v>27</v>
      </c>
      <c r="ASC2">
        <v>41651</v>
      </c>
      <c r="ASD2">
        <v>566</v>
      </c>
      <c r="ASE2">
        <v>1</v>
      </c>
      <c r="ASF2">
        <v>0</v>
      </c>
      <c r="ASG2">
        <v>566</v>
      </c>
      <c r="ASH2">
        <v>1</v>
      </c>
      <c r="ASI2">
        <v>0</v>
      </c>
      <c r="ASJ2">
        <v>874</v>
      </c>
      <c r="ASK2">
        <v>441.41692575570301</v>
      </c>
      <c r="ASL2">
        <v>131.080091839418</v>
      </c>
      <c r="ASM2">
        <v>1.0444444444444401</v>
      </c>
      <c r="ASN2">
        <v>34.114415160003396</v>
      </c>
      <c r="ASO2">
        <v>0</v>
      </c>
      <c r="ASP2">
        <v>41.598148148148098</v>
      </c>
      <c r="ASQ2">
        <v>205.12874281005099</v>
      </c>
      <c r="ASR2">
        <v>17.617231842231799</v>
      </c>
      <c r="ASS2">
        <v>2</v>
      </c>
      <c r="AST2">
        <v>684</v>
      </c>
      <c r="ASU2">
        <v>368.31302716891003</v>
      </c>
      <c r="ASV2">
        <v>92.103008980756698</v>
      </c>
      <c r="ASW2">
        <v>1.0444444444444401</v>
      </c>
      <c r="ASX2">
        <v>26.777510398098599</v>
      </c>
      <c r="ASY2">
        <v>0</v>
      </c>
      <c r="ASZ2">
        <v>34.637037037036997</v>
      </c>
      <c r="ATA2">
        <v>147.912502033284</v>
      </c>
      <c r="ATB2">
        <v>13.2124699374699</v>
      </c>
      <c r="ATC2">
        <v>0</v>
      </c>
      <c r="ATD2">
        <v>1169</v>
      </c>
      <c r="ATE2">
        <v>541.65560804452195</v>
      </c>
      <c r="ATF2">
        <v>159.68449150345501</v>
      </c>
      <c r="ATG2">
        <v>3.3511494252873599</v>
      </c>
      <c r="ATH2">
        <v>19.248644780822801</v>
      </c>
      <c r="ATI2">
        <v>0</v>
      </c>
      <c r="ATJ2">
        <v>69.224600345188605</v>
      </c>
      <c r="ATK2">
        <v>359.16277947032199</v>
      </c>
      <c r="ATL2">
        <v>16.339393097069099</v>
      </c>
      <c r="ATM2">
        <v>0.33333333333333298</v>
      </c>
      <c r="ATN2">
        <v>910</v>
      </c>
      <c r="ATO2">
        <v>424.62445122516698</v>
      </c>
      <c r="ATP2">
        <v>107.495838638843</v>
      </c>
      <c r="ATQ2">
        <v>2.2678160919540198</v>
      </c>
      <c r="ATR2">
        <v>14.9889045210825</v>
      </c>
      <c r="ATS2">
        <v>0</v>
      </c>
      <c r="ATT2">
        <v>66.455119825708096</v>
      </c>
      <c r="ATU2">
        <v>281.05633509770098</v>
      </c>
      <c r="ATV2">
        <v>12.7782012662111</v>
      </c>
      <c r="ATW2">
        <v>0.33333333333333298</v>
      </c>
      <c r="ATX2">
        <v>689</v>
      </c>
      <c r="ATY2">
        <v>334.48613738766102</v>
      </c>
      <c r="ATZ2">
        <v>96.007595260665695</v>
      </c>
      <c r="AUA2">
        <v>1.3551495016611299</v>
      </c>
      <c r="AUB2">
        <v>9.9047165025277195</v>
      </c>
      <c r="AUC2">
        <v>0</v>
      </c>
      <c r="AUD2">
        <v>49.582142857142799</v>
      </c>
      <c r="AUE2">
        <v>193.61447505305901</v>
      </c>
      <c r="AUF2">
        <v>4.0497834372834403</v>
      </c>
      <c r="AUG2">
        <v>0</v>
      </c>
      <c r="AUH2">
        <v>562</v>
      </c>
      <c r="AUI2">
        <v>287.58191236431799</v>
      </c>
      <c r="AUJ2">
        <v>68.083202170096101</v>
      </c>
      <c r="AUK2">
        <v>1.3551495016611299</v>
      </c>
      <c r="AUL2">
        <v>7.5171348031813103</v>
      </c>
      <c r="AUM2">
        <v>0</v>
      </c>
      <c r="AUN2">
        <v>43.998809523809499</v>
      </c>
      <c r="AUO2">
        <v>151.830674866317</v>
      </c>
      <c r="AUP2">
        <v>1.63311677061677</v>
      </c>
      <c r="AUQ2">
        <v>0</v>
      </c>
      <c r="AUR2">
        <v>2418</v>
      </c>
      <c r="AUS2">
        <v>1158.9656199538399</v>
      </c>
      <c r="AUT2">
        <v>356.758434155803</v>
      </c>
      <c r="AUU2">
        <v>5.5622605363984698</v>
      </c>
      <c r="AUV2">
        <v>57.523413476179698</v>
      </c>
      <c r="AUW2">
        <v>0</v>
      </c>
      <c r="AUX2">
        <v>128.547748493337</v>
      </c>
      <c r="AUY2">
        <v>669.15330494215596</v>
      </c>
      <c r="AUZ2">
        <v>39.1558851089558</v>
      </c>
      <c r="AVA2">
        <v>2.3333333333333299</v>
      </c>
      <c r="AVB2">
        <v>1864</v>
      </c>
      <c r="AVC2">
        <v>930.59346611980095</v>
      </c>
      <c r="AVD2">
        <v>242.00067671156</v>
      </c>
      <c r="AVE2">
        <v>3.4789272030651301</v>
      </c>
      <c r="AVF2">
        <v>43.502526030292302</v>
      </c>
      <c r="AVG2">
        <v>0</v>
      </c>
      <c r="AVH2">
        <v>115.45049019607799</v>
      </c>
      <c r="AVI2">
        <v>498.19450868165598</v>
      </c>
      <c r="AVJ2">
        <v>30.446071724213098</v>
      </c>
      <c r="AVK2">
        <v>0.33333333333333298</v>
      </c>
      <c r="AVL2">
        <v>2358</v>
      </c>
      <c r="AVM2">
        <v>1206.9722889377199</v>
      </c>
      <c r="AVN2">
        <v>299.19334589036202</v>
      </c>
      <c r="AVO2">
        <v>4.6236680201796503</v>
      </c>
      <c r="AVP2">
        <v>37.467246074405097</v>
      </c>
      <c r="AVQ2">
        <v>0</v>
      </c>
      <c r="AVR2">
        <v>151.914613572702</v>
      </c>
      <c r="AVS2">
        <v>639.859372920032</v>
      </c>
      <c r="AVT2">
        <v>17.969464584596199</v>
      </c>
      <c r="AVU2">
        <v>0</v>
      </c>
      <c r="AVV2">
        <v>1958</v>
      </c>
      <c r="AVW2">
        <v>1050.3415781702699</v>
      </c>
      <c r="AVX2">
        <v>214.99113954706499</v>
      </c>
      <c r="AVY2">
        <v>3.6236680201796498</v>
      </c>
      <c r="AVZ2">
        <v>30.074391930112402</v>
      </c>
      <c r="AWA2">
        <v>0</v>
      </c>
      <c r="AWB2">
        <v>138.09751400560199</v>
      </c>
      <c r="AWC2">
        <v>508.41678008302199</v>
      </c>
      <c r="AWD2">
        <v>12.454928243744</v>
      </c>
      <c r="AWE2">
        <v>0</v>
      </c>
      <c r="AWF2">
        <v>25070</v>
      </c>
      <c r="AWG2">
        <v>11609.1719099702</v>
      </c>
      <c r="AWH2">
        <v>3971.6256514914098</v>
      </c>
      <c r="AWI2">
        <v>215.74216666955499</v>
      </c>
      <c r="AWJ2">
        <v>905.068894933519</v>
      </c>
      <c r="AWK2">
        <v>0</v>
      </c>
      <c r="AWL2">
        <v>1507.99478089063</v>
      </c>
      <c r="AWM2">
        <v>6313.8198122234398</v>
      </c>
      <c r="AWN2">
        <v>367.94628669606999</v>
      </c>
      <c r="AWO2">
        <v>178.630497125137</v>
      </c>
      <c r="AWP2">
        <v>19093</v>
      </c>
      <c r="AWQ2">
        <v>9299.1847254804397</v>
      </c>
      <c r="AWR2">
        <v>2738.3533124536398</v>
      </c>
      <c r="AWS2">
        <v>119.65975489889</v>
      </c>
      <c r="AWT2">
        <v>743.53760059777096</v>
      </c>
      <c r="AWU2">
        <v>0</v>
      </c>
      <c r="AWV2">
        <v>1361.6066522875799</v>
      </c>
      <c r="AWW2">
        <v>4553.6006591510104</v>
      </c>
      <c r="AWX2">
        <v>268.79062846400097</v>
      </c>
      <c r="AWY2">
        <v>8.2666666666666693</v>
      </c>
      <c r="AWZ2">
        <v>28614</v>
      </c>
      <c r="AXA2">
        <v>13052.8678047126</v>
      </c>
      <c r="AXB2">
        <v>4252.9176741296596</v>
      </c>
      <c r="AXC2">
        <v>45.014439079752897</v>
      </c>
      <c r="AXD2">
        <v>722.813189035905</v>
      </c>
      <c r="AXE2">
        <v>0</v>
      </c>
      <c r="AXF2">
        <v>1827.4386807170099</v>
      </c>
      <c r="AXG2">
        <v>8470.9869037238495</v>
      </c>
      <c r="AXH2">
        <v>237.79464193450499</v>
      </c>
      <c r="AXI2">
        <v>4.1666666666666696</v>
      </c>
      <c r="AXJ2">
        <v>22702</v>
      </c>
      <c r="AXK2">
        <v>10969.085815030199</v>
      </c>
      <c r="AXL2">
        <v>3066.1173523468701</v>
      </c>
      <c r="AXM2">
        <v>28.330672845986701</v>
      </c>
      <c r="AXN2">
        <v>545.43021999685004</v>
      </c>
      <c r="AXO2">
        <v>0</v>
      </c>
      <c r="AXP2">
        <v>1631.51743754739</v>
      </c>
      <c r="AXQ2">
        <v>6259.0373523616699</v>
      </c>
      <c r="AXR2">
        <v>199.314483204346</v>
      </c>
      <c r="AXS2">
        <v>3.1666666666666701</v>
      </c>
      <c r="AXT2">
        <v>27767</v>
      </c>
      <c r="AXU2">
        <v>10826</v>
      </c>
      <c r="AXV2">
        <v>6574</v>
      </c>
      <c r="AXW2">
        <v>3565</v>
      </c>
      <c r="AXX2">
        <v>7822.3408380000001</v>
      </c>
      <c r="AXY2">
        <v>26141</v>
      </c>
      <c r="AXZ2">
        <v>13366</v>
      </c>
      <c r="AYA2">
        <v>7680</v>
      </c>
      <c r="AYB2">
        <v>1167</v>
      </c>
      <c r="AYC2">
        <v>8097.5315609999998</v>
      </c>
      <c r="AYD2">
        <v>20859</v>
      </c>
      <c r="AYE2">
        <v>9566</v>
      </c>
      <c r="AYF2">
        <v>6579</v>
      </c>
      <c r="AYG2">
        <v>1074</v>
      </c>
      <c r="AYH2">
        <v>6455.33</v>
      </c>
      <c r="AYI2">
        <v>62707</v>
      </c>
      <c r="AYJ2">
        <v>29615</v>
      </c>
      <c r="AYK2">
        <v>16898</v>
      </c>
      <c r="AYL2">
        <v>4911</v>
      </c>
      <c r="AYM2">
        <v>20404.493880000002</v>
      </c>
      <c r="AYN2">
        <v>50953</v>
      </c>
      <c r="AYO2">
        <v>25132</v>
      </c>
      <c r="AYP2">
        <v>16346</v>
      </c>
      <c r="AYQ2">
        <v>1526</v>
      </c>
      <c r="AYR2">
        <v>18281.21</v>
      </c>
      <c r="AYS2">
        <v>686126</v>
      </c>
      <c r="AYT2">
        <v>354214</v>
      </c>
      <c r="AYU2">
        <v>178557</v>
      </c>
      <c r="AYV2">
        <v>34605</v>
      </c>
      <c r="AYW2">
        <v>453775.61804199999</v>
      </c>
      <c r="AYX2">
        <v>657960</v>
      </c>
      <c r="AYY2">
        <v>377570</v>
      </c>
      <c r="AYZ2">
        <v>156660</v>
      </c>
      <c r="AZA2">
        <v>30454</v>
      </c>
      <c r="AZB2">
        <v>417786.25232799997</v>
      </c>
    </row>
  </sheetData>
  <conditionalFormatting sqref="A3:XFD5">
    <cfRule type="duplicateValues" dxfId="0" priority="1"/>
  </conditionalFormatting>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4B0BB-17DA-40B3-A36B-B7F33C08305C}">
  <dimension ref="A1:O4093"/>
  <sheetViews>
    <sheetView topLeftCell="C1" workbookViewId="0">
      <selection activeCell="O4" sqref="O4"/>
    </sheetView>
  </sheetViews>
  <sheetFormatPr defaultRowHeight="15"/>
  <cols>
    <col min="8" max="8" width="11.5703125" bestFit="1" customWidth="1"/>
    <col min="9" max="9" width="10.140625" bestFit="1" customWidth="1"/>
    <col min="12" max="12" width="10.140625" bestFit="1" customWidth="1"/>
    <col min="14" max="15" width="11.28515625" bestFit="1" customWidth="1"/>
  </cols>
  <sheetData>
    <row r="1" spans="1:15" ht="15.75">
      <c r="A1" s="36" t="s">
        <v>1432</v>
      </c>
      <c r="B1" s="37" t="s">
        <v>1433</v>
      </c>
      <c r="C1" s="38" t="s">
        <v>1434</v>
      </c>
      <c r="D1" s="36" t="s">
        <v>1435</v>
      </c>
      <c r="E1" s="36" t="s">
        <v>1436</v>
      </c>
      <c r="F1" s="36" t="s">
        <v>1437</v>
      </c>
      <c r="G1" s="39"/>
      <c r="H1" s="39" t="s">
        <v>1438</v>
      </c>
      <c r="I1" s="39" t="s">
        <v>0</v>
      </c>
      <c r="J1" s="39" t="s">
        <v>1</v>
      </c>
      <c r="K1" s="39" t="s">
        <v>3</v>
      </c>
      <c r="L1" s="39" t="s">
        <v>1439</v>
      </c>
      <c r="M1" s="39" t="s">
        <v>1440</v>
      </c>
      <c r="N1" s="39" t="s">
        <v>8</v>
      </c>
      <c r="O1" s="39" t="s">
        <v>9</v>
      </c>
    </row>
    <row r="2" spans="1:15" ht="15.75">
      <c r="A2" s="22" t="s">
        <v>1441</v>
      </c>
      <c r="B2" s="26">
        <v>40583</v>
      </c>
      <c r="C2" s="27">
        <v>0</v>
      </c>
      <c r="D2" s="25" t="str">
        <f>CONCATENATE(YEAR(B2-WEEKDAY(B2,3)+3),TEXT(WEEKNUM(B2,21),"00"))</f>
        <v>201106</v>
      </c>
      <c r="E2" s="22" t="str">
        <f ca="1">IF(
  AND(
    YEAR(B2)=YEAR(TODAY())-1,
    MONTH(B2)=MONTH(TODAY()),
    DAY(B2)&gt;DAY($H$2)
  ),
  0,
  CONCATENATE(YEAR(B2),TEXT(MONTH(B2),"00"))
)</f>
        <v>201102</v>
      </c>
      <c r="F2" s="22">
        <f ca="1">IF(
  AND(
    YEAR(B2)=YEAR(TODAY())-1,
    MONTH(B2)=MONTH(TODAY()),
    DAY(B2)&gt;DAY($H$2)
  ),
  0,
  IF(MONTH(B2)&lt;11,YEAR(B2),YEAR(B2)+1)
)</f>
        <v>2011</v>
      </c>
      <c r="G2" s="42"/>
      <c r="H2" s="31">
        <f>MAX(B:B)</f>
        <v>43723</v>
      </c>
      <c r="I2" s="42" t="str">
        <f ca="1">CONCATENATE(YEAR((TODAY()-8)-WEEKDAY((TODAY()-8),3)+3),TEXT(WEEKNUM((TODAY()-8),21),"00"))</f>
        <v>201940</v>
      </c>
      <c r="J2" s="42" t="str">
        <f ca="1">CONCATENATE(YEAR((TODAY()-15)-WEEKDAY((TODAY()-15),3)+3),TEXT(WEEKNUM((TODAY()-15),21),"00"))</f>
        <v>201939</v>
      </c>
      <c r="K2" s="42" t="str">
        <f ca="1">CONCATENATE(YEAR((TODAY()-8)-WEEKDAY((TODAY()-8),3)+3)-1,TEXT(WEEKNUM((TODAY()-8),21),"00"))</f>
        <v>201840</v>
      </c>
      <c r="L2" s="41" t="str">
        <f ca="1">CONCATENATE(YEAR(TODAY()-8),TEXT(MONTH(TODAY()-8),"00"))</f>
        <v>201910</v>
      </c>
      <c r="M2" s="41" t="str">
        <f ca="1">CONCATENATE(YEAR(TODAY()-8)-1,TEXT(MONTH(TODAY()-8),"00"))</f>
        <v>201810</v>
      </c>
      <c r="N2" s="42">
        <f ca="1">IF(MONTH(TODAY()-8)&lt;11,YEAR(TODAY()-8),YEAR(TODAY()-8)+1)</f>
        <v>2019</v>
      </c>
      <c r="O2" s="42">
        <f ca="1">IF(MONTH(TODAY()-8)&lt;11,YEAR(TODAY()-8)-1,YEAR(TODAY()-8))</f>
        <v>2018</v>
      </c>
    </row>
    <row r="3" spans="1:15" ht="15.75">
      <c r="A3" s="22" t="s">
        <v>1441</v>
      </c>
      <c r="B3" s="26">
        <v>40584</v>
      </c>
      <c r="C3" s="27">
        <v>0</v>
      </c>
      <c r="D3" s="25" t="str">
        <f t="shared" ref="D3:D66" si="0">CONCATENATE(YEAR(B3-WEEKDAY(B3,3)+3),TEXT(WEEKNUM(B3,21),"00"))</f>
        <v>201106</v>
      </c>
      <c r="E3" s="22" t="str">
        <f t="shared" ref="E3:E66" ca="1" si="1">IF(
  AND(
    YEAR(B3)=YEAR(TODAY())-1,
    MONTH(B3)=MONTH(TODAY()),
    DAY(B3)&gt;DAY($H$2)
  ),
  0,
  CONCATENATE(YEAR(B3),TEXT(MONTH(B3),"00"))
)</f>
        <v>201102</v>
      </c>
      <c r="F3" s="22">
        <v>2011</v>
      </c>
      <c r="G3" s="42"/>
      <c r="H3" s="42"/>
      <c r="I3" s="40">
        <f ca="1">SUMIF($D:$D,I$2,$C:$C)</f>
        <v>0</v>
      </c>
      <c r="J3" s="40">
        <f ca="1">SUMIF($D:$D,J2,$C:$C)</f>
        <v>0</v>
      </c>
      <c r="K3" s="40">
        <f ca="1">SUMIF($D:$D,K2,$C:$C)</f>
        <v>0</v>
      </c>
      <c r="L3" s="40">
        <f ca="1">SUMIF($E:$E,L2,$C:$C)</f>
        <v>0</v>
      </c>
      <c r="M3" s="40">
        <f ca="1">SUMIF($E:$E,M2,$C:$C)</f>
        <v>0</v>
      </c>
      <c r="N3" s="40">
        <f ca="1">SUMIF($F:$F,N2,$C:$C)</f>
        <v>40009.318104954793</v>
      </c>
      <c r="O3" s="40">
        <f ca="1">SUMIF($F:$F,O2,$C:$C)</f>
        <v>25102.200000000023</v>
      </c>
    </row>
    <row r="4" spans="1:15" ht="15.75">
      <c r="A4" s="22" t="s">
        <v>1441</v>
      </c>
      <c r="B4" s="26">
        <v>40585</v>
      </c>
      <c r="C4" s="27">
        <v>0</v>
      </c>
      <c r="D4" s="25" t="str">
        <f t="shared" si="0"/>
        <v>201106</v>
      </c>
      <c r="E4" s="22" t="str">
        <f t="shared" ca="1" si="1"/>
        <v>201102</v>
      </c>
      <c r="F4" s="22">
        <v>2011</v>
      </c>
      <c r="G4" s="42"/>
      <c r="H4" s="42"/>
      <c r="I4" s="42"/>
      <c r="J4" s="42"/>
      <c r="K4" s="42"/>
      <c r="L4" s="42"/>
      <c r="M4" s="42"/>
      <c r="N4" s="42"/>
      <c r="O4" s="42"/>
    </row>
    <row r="5" spans="1:15" ht="15.75">
      <c r="A5" s="22" t="s">
        <v>1441</v>
      </c>
      <c r="B5" s="26">
        <v>40586</v>
      </c>
      <c r="C5" s="27">
        <v>0</v>
      </c>
      <c r="D5" s="25" t="str">
        <f t="shared" si="0"/>
        <v>201106</v>
      </c>
      <c r="E5" s="22" t="str">
        <f t="shared" ca="1" si="1"/>
        <v>201102</v>
      </c>
      <c r="F5" s="22">
        <v>2011</v>
      </c>
      <c r="G5" s="42"/>
      <c r="H5" s="42"/>
      <c r="I5" s="42"/>
      <c r="J5" s="42"/>
      <c r="K5" s="42"/>
      <c r="L5" s="42"/>
      <c r="M5" s="42"/>
      <c r="N5" s="42"/>
      <c r="O5" s="42"/>
    </row>
    <row r="6" spans="1:15" ht="15.75">
      <c r="A6" s="22" t="s">
        <v>1441</v>
      </c>
      <c r="B6" s="26">
        <v>40587</v>
      </c>
      <c r="C6" s="27">
        <v>0</v>
      </c>
      <c r="D6" s="25" t="str">
        <f t="shared" si="0"/>
        <v>201106</v>
      </c>
      <c r="E6" s="22" t="str">
        <f t="shared" ca="1" si="1"/>
        <v>201102</v>
      </c>
      <c r="F6" s="22">
        <v>2011</v>
      </c>
      <c r="G6" s="42"/>
      <c r="H6" s="42"/>
      <c r="I6" s="42"/>
      <c r="J6" s="42"/>
      <c r="K6" s="42"/>
      <c r="L6" s="42"/>
      <c r="M6" s="42"/>
      <c r="N6" s="42"/>
      <c r="O6" s="42"/>
    </row>
    <row r="7" spans="1:15" ht="15.75">
      <c r="A7" s="22" t="s">
        <v>1441</v>
      </c>
      <c r="B7" s="26">
        <v>40588</v>
      </c>
      <c r="C7" s="27">
        <v>0</v>
      </c>
      <c r="D7" s="25" t="str">
        <f t="shared" si="0"/>
        <v>201107</v>
      </c>
      <c r="E7" s="22" t="str">
        <f t="shared" ca="1" si="1"/>
        <v>201102</v>
      </c>
      <c r="F7" s="22">
        <v>2011</v>
      </c>
      <c r="G7" s="42"/>
      <c r="H7" s="42"/>
      <c r="I7" s="42"/>
      <c r="J7" s="42"/>
      <c r="K7" s="42"/>
      <c r="L7" s="42"/>
      <c r="M7" s="42"/>
      <c r="N7" s="42"/>
      <c r="O7" s="42"/>
    </row>
    <row r="8" spans="1:15" ht="15.75">
      <c r="A8" s="22" t="s">
        <v>1441</v>
      </c>
      <c r="B8" s="26">
        <v>40589</v>
      </c>
      <c r="C8" s="27">
        <v>0</v>
      </c>
      <c r="D8" s="25" t="str">
        <f t="shared" si="0"/>
        <v>201107</v>
      </c>
      <c r="E8" s="22" t="str">
        <f t="shared" ca="1" si="1"/>
        <v>201102</v>
      </c>
      <c r="F8" s="22">
        <v>2011</v>
      </c>
      <c r="G8" s="42"/>
      <c r="H8" s="42"/>
      <c r="I8" s="42"/>
      <c r="J8" s="42"/>
      <c r="K8" s="42"/>
      <c r="L8" s="42"/>
      <c r="M8" s="42"/>
      <c r="N8" s="42"/>
      <c r="O8" s="42"/>
    </row>
    <row r="9" spans="1:15" ht="15.75">
      <c r="A9" s="22" t="s">
        <v>1441</v>
      </c>
      <c r="B9" s="26">
        <v>40590</v>
      </c>
      <c r="C9" s="27">
        <v>0</v>
      </c>
      <c r="D9" s="25" t="str">
        <f t="shared" si="0"/>
        <v>201107</v>
      </c>
      <c r="E9" s="22" t="str">
        <f t="shared" ca="1" si="1"/>
        <v>201102</v>
      </c>
      <c r="F9" s="22">
        <v>2011</v>
      </c>
      <c r="G9" s="42"/>
      <c r="H9" s="42"/>
      <c r="I9" s="42"/>
      <c r="J9" s="42"/>
      <c r="K9" s="42"/>
      <c r="L9" s="42"/>
      <c r="M9" s="42"/>
      <c r="N9" s="42"/>
      <c r="O9" s="42"/>
    </row>
    <row r="10" spans="1:15" ht="15.75">
      <c r="A10" s="22" t="s">
        <v>1441</v>
      </c>
      <c r="B10" s="26">
        <v>40591</v>
      </c>
      <c r="C10" s="27">
        <v>0</v>
      </c>
      <c r="D10" s="25" t="str">
        <f t="shared" si="0"/>
        <v>201107</v>
      </c>
      <c r="E10" s="22" t="str">
        <f t="shared" ca="1" si="1"/>
        <v>201102</v>
      </c>
      <c r="F10" s="22">
        <v>2011</v>
      </c>
      <c r="G10" s="42"/>
      <c r="H10" s="42"/>
      <c r="I10" s="42"/>
      <c r="J10" s="42"/>
      <c r="K10" s="42"/>
      <c r="L10" s="42"/>
      <c r="M10" s="42"/>
      <c r="N10" s="42"/>
      <c r="O10" s="42"/>
    </row>
    <row r="11" spans="1:15" ht="15.75">
      <c r="A11" s="22" t="s">
        <v>1441</v>
      </c>
      <c r="B11" s="26">
        <v>40592</v>
      </c>
      <c r="C11" s="27">
        <v>0</v>
      </c>
      <c r="D11" s="25" t="str">
        <f t="shared" si="0"/>
        <v>201107</v>
      </c>
      <c r="E11" s="22" t="str">
        <f t="shared" ca="1" si="1"/>
        <v>201102</v>
      </c>
      <c r="F11" s="22">
        <v>2011</v>
      </c>
      <c r="G11" s="42"/>
      <c r="H11" s="42"/>
      <c r="I11" s="42"/>
      <c r="J11" s="42"/>
      <c r="K11" s="42"/>
      <c r="L11" s="42"/>
      <c r="M11" s="42"/>
      <c r="N11" s="42"/>
      <c r="O11" s="42"/>
    </row>
    <row r="12" spans="1:15" ht="15.75">
      <c r="A12" s="22" t="s">
        <v>1441</v>
      </c>
      <c r="B12" s="26">
        <v>40593</v>
      </c>
      <c r="C12" s="27">
        <v>0</v>
      </c>
      <c r="D12" s="25" t="str">
        <f t="shared" si="0"/>
        <v>201107</v>
      </c>
      <c r="E12" s="22" t="str">
        <f t="shared" ca="1" si="1"/>
        <v>201102</v>
      </c>
      <c r="F12" s="22">
        <v>2011</v>
      </c>
      <c r="G12" s="42"/>
      <c r="H12" s="42"/>
      <c r="I12" s="42"/>
      <c r="J12" s="42"/>
      <c r="K12" s="42"/>
      <c r="L12" s="42"/>
      <c r="M12" s="42"/>
      <c r="N12" s="42"/>
      <c r="O12" s="42"/>
    </row>
    <row r="13" spans="1:15" ht="15.75">
      <c r="A13" s="22" t="s">
        <v>1441</v>
      </c>
      <c r="B13" s="26">
        <v>40594</v>
      </c>
      <c r="C13" s="27">
        <v>0</v>
      </c>
      <c r="D13" s="25" t="str">
        <f t="shared" si="0"/>
        <v>201107</v>
      </c>
      <c r="E13" s="22" t="str">
        <f t="shared" ca="1" si="1"/>
        <v>201102</v>
      </c>
      <c r="F13" s="22">
        <v>2011</v>
      </c>
      <c r="G13" s="42"/>
      <c r="H13" s="42"/>
      <c r="I13" s="42"/>
      <c r="J13" s="42"/>
      <c r="K13" s="42"/>
      <c r="L13" s="42"/>
      <c r="M13" s="42"/>
      <c r="N13" s="42"/>
      <c r="O13" s="42"/>
    </row>
    <row r="14" spans="1:15" ht="15.75">
      <c r="A14" s="22" t="s">
        <v>1441</v>
      </c>
      <c r="B14" s="26">
        <v>40595</v>
      </c>
      <c r="C14" s="27">
        <v>0</v>
      </c>
      <c r="D14" s="25" t="str">
        <f t="shared" si="0"/>
        <v>201108</v>
      </c>
      <c r="E14" s="22" t="str">
        <f t="shared" ca="1" si="1"/>
        <v>201102</v>
      </c>
      <c r="F14" s="22">
        <v>2011</v>
      </c>
      <c r="G14" s="42"/>
      <c r="H14" s="42"/>
      <c r="I14" s="42"/>
      <c r="J14" s="42"/>
      <c r="K14" s="42"/>
      <c r="L14" s="42"/>
      <c r="M14" s="42"/>
      <c r="N14" s="42"/>
      <c r="O14" s="42"/>
    </row>
    <row r="15" spans="1:15" ht="15.75">
      <c r="A15" s="22" t="s">
        <v>1441</v>
      </c>
      <c r="B15" s="26">
        <v>40596</v>
      </c>
      <c r="C15" s="27">
        <v>0</v>
      </c>
      <c r="D15" s="25" t="str">
        <f t="shared" si="0"/>
        <v>201108</v>
      </c>
      <c r="E15" s="22" t="str">
        <f t="shared" ca="1" si="1"/>
        <v>201102</v>
      </c>
      <c r="F15" s="22">
        <v>2011</v>
      </c>
      <c r="G15" s="42"/>
      <c r="H15" s="42"/>
      <c r="I15" s="42"/>
      <c r="J15" s="42"/>
      <c r="K15" s="42"/>
      <c r="L15" s="42"/>
      <c r="M15" s="42"/>
      <c r="N15" s="42"/>
      <c r="O15" s="42"/>
    </row>
    <row r="16" spans="1:15" ht="15.75">
      <c r="A16" s="22" t="s">
        <v>1441</v>
      </c>
      <c r="B16" s="26">
        <v>40597</v>
      </c>
      <c r="C16" s="27">
        <v>0</v>
      </c>
      <c r="D16" s="25" t="str">
        <f t="shared" si="0"/>
        <v>201108</v>
      </c>
      <c r="E16" s="22" t="str">
        <f t="shared" ca="1" si="1"/>
        <v>201102</v>
      </c>
      <c r="F16" s="22">
        <v>2011</v>
      </c>
      <c r="G16" s="42"/>
      <c r="H16" s="42"/>
      <c r="I16" s="42"/>
      <c r="J16" s="42"/>
      <c r="K16" s="42"/>
      <c r="L16" s="42"/>
      <c r="M16" s="42"/>
      <c r="N16" s="42"/>
      <c r="O16" s="42"/>
    </row>
    <row r="17" spans="1:6" ht="15.75">
      <c r="A17" s="22" t="s">
        <v>1441</v>
      </c>
      <c r="B17" s="26">
        <v>40598</v>
      </c>
      <c r="C17" s="27">
        <v>0</v>
      </c>
      <c r="D17" s="25" t="str">
        <f t="shared" si="0"/>
        <v>201108</v>
      </c>
      <c r="E17" s="22" t="str">
        <f t="shared" ca="1" si="1"/>
        <v>201102</v>
      </c>
      <c r="F17" s="22">
        <v>2011</v>
      </c>
    </row>
    <row r="18" spans="1:6" ht="15.75">
      <c r="A18" s="22" t="s">
        <v>1441</v>
      </c>
      <c r="B18" s="26">
        <v>40599</v>
      </c>
      <c r="C18" s="27">
        <v>0</v>
      </c>
      <c r="D18" s="25" t="str">
        <f t="shared" si="0"/>
        <v>201108</v>
      </c>
      <c r="E18" s="22" t="str">
        <f t="shared" ca="1" si="1"/>
        <v>201102</v>
      </c>
      <c r="F18" s="22">
        <v>2011</v>
      </c>
    </row>
    <row r="19" spans="1:6" ht="15.75">
      <c r="A19" s="22" t="s">
        <v>1441</v>
      </c>
      <c r="B19" s="26">
        <v>40600</v>
      </c>
      <c r="C19" s="27">
        <v>0</v>
      </c>
      <c r="D19" s="25" t="str">
        <f t="shared" si="0"/>
        <v>201108</v>
      </c>
      <c r="E19" s="22" t="str">
        <f t="shared" ca="1" si="1"/>
        <v>201102</v>
      </c>
      <c r="F19" s="22">
        <v>2011</v>
      </c>
    </row>
    <row r="20" spans="1:6" ht="15.75">
      <c r="A20" s="22" t="s">
        <v>1441</v>
      </c>
      <c r="B20" s="26">
        <v>40601</v>
      </c>
      <c r="C20" s="27">
        <v>0</v>
      </c>
      <c r="D20" s="25" t="str">
        <f t="shared" si="0"/>
        <v>201108</v>
      </c>
      <c r="E20" s="22" t="str">
        <f t="shared" ca="1" si="1"/>
        <v>201102</v>
      </c>
      <c r="F20" s="22">
        <v>2011</v>
      </c>
    </row>
    <row r="21" spans="1:6" ht="15.75">
      <c r="A21" s="22" t="s">
        <v>1441</v>
      </c>
      <c r="B21" s="26">
        <v>40602</v>
      </c>
      <c r="C21" s="27">
        <v>0</v>
      </c>
      <c r="D21" s="25" t="str">
        <f t="shared" si="0"/>
        <v>201109</v>
      </c>
      <c r="E21" s="22" t="str">
        <f t="shared" ca="1" si="1"/>
        <v>201102</v>
      </c>
      <c r="F21" s="22">
        <v>2011</v>
      </c>
    </row>
    <row r="22" spans="1:6" ht="15.75">
      <c r="A22" s="22" t="s">
        <v>1441</v>
      </c>
      <c r="B22" s="26">
        <v>40603</v>
      </c>
      <c r="C22" s="27">
        <v>0</v>
      </c>
      <c r="D22" s="25" t="str">
        <f t="shared" si="0"/>
        <v>201109</v>
      </c>
      <c r="E22" s="22" t="str">
        <f t="shared" ca="1" si="1"/>
        <v>201103</v>
      </c>
      <c r="F22" s="22">
        <v>2011</v>
      </c>
    </row>
    <row r="23" spans="1:6" ht="15.75">
      <c r="A23" s="22" t="s">
        <v>1441</v>
      </c>
      <c r="B23" s="26">
        <v>40604</v>
      </c>
      <c r="C23" s="27">
        <v>0</v>
      </c>
      <c r="D23" s="25" t="str">
        <f t="shared" si="0"/>
        <v>201109</v>
      </c>
      <c r="E23" s="22" t="str">
        <f t="shared" ca="1" si="1"/>
        <v>201103</v>
      </c>
      <c r="F23" s="22">
        <v>2011</v>
      </c>
    </row>
    <row r="24" spans="1:6" ht="15.75">
      <c r="A24" s="22" t="s">
        <v>1441</v>
      </c>
      <c r="B24" s="26">
        <v>40605</v>
      </c>
      <c r="C24" s="27">
        <v>0</v>
      </c>
      <c r="D24" s="25" t="str">
        <f t="shared" si="0"/>
        <v>201109</v>
      </c>
      <c r="E24" s="22" t="str">
        <f t="shared" ca="1" si="1"/>
        <v>201103</v>
      </c>
      <c r="F24" s="22">
        <v>2011</v>
      </c>
    </row>
    <row r="25" spans="1:6" ht="15.75">
      <c r="A25" s="22" t="s">
        <v>1441</v>
      </c>
      <c r="B25" s="26">
        <v>40606</v>
      </c>
      <c r="C25" s="27">
        <v>0</v>
      </c>
      <c r="D25" s="25" t="str">
        <f t="shared" si="0"/>
        <v>201109</v>
      </c>
      <c r="E25" s="22" t="str">
        <f t="shared" ca="1" si="1"/>
        <v>201103</v>
      </c>
      <c r="F25" s="22">
        <v>2011</v>
      </c>
    </row>
    <row r="26" spans="1:6" ht="15.75">
      <c r="A26" s="22" t="s">
        <v>1441</v>
      </c>
      <c r="B26" s="26">
        <v>40607</v>
      </c>
      <c r="C26" s="27">
        <v>0</v>
      </c>
      <c r="D26" s="25" t="str">
        <f t="shared" si="0"/>
        <v>201109</v>
      </c>
      <c r="E26" s="22" t="str">
        <f t="shared" ca="1" si="1"/>
        <v>201103</v>
      </c>
      <c r="F26" s="22">
        <v>2011</v>
      </c>
    </row>
    <row r="27" spans="1:6" ht="15.75">
      <c r="A27" s="22" t="s">
        <v>1441</v>
      </c>
      <c r="B27" s="26">
        <v>40608</v>
      </c>
      <c r="C27" s="27">
        <v>0</v>
      </c>
      <c r="D27" s="25" t="str">
        <f t="shared" si="0"/>
        <v>201109</v>
      </c>
      <c r="E27" s="22" t="str">
        <f t="shared" ca="1" si="1"/>
        <v>201103</v>
      </c>
      <c r="F27" s="22">
        <v>2011</v>
      </c>
    </row>
    <row r="28" spans="1:6" ht="15.75">
      <c r="A28" s="22" t="s">
        <v>1441</v>
      </c>
      <c r="B28" s="26">
        <v>40609</v>
      </c>
      <c r="C28" s="27">
        <v>0</v>
      </c>
      <c r="D28" s="25" t="str">
        <f t="shared" si="0"/>
        <v>201110</v>
      </c>
      <c r="E28" s="22" t="str">
        <f t="shared" ca="1" si="1"/>
        <v>201103</v>
      </c>
      <c r="F28" s="22">
        <v>2011</v>
      </c>
    </row>
    <row r="29" spans="1:6" ht="15.75">
      <c r="A29" s="22" t="s">
        <v>1441</v>
      </c>
      <c r="B29" s="26">
        <v>40610</v>
      </c>
      <c r="C29" s="27">
        <v>0</v>
      </c>
      <c r="D29" s="25" t="str">
        <f t="shared" si="0"/>
        <v>201110</v>
      </c>
      <c r="E29" s="22" t="str">
        <f t="shared" ca="1" si="1"/>
        <v>201103</v>
      </c>
      <c r="F29" s="22">
        <v>2011</v>
      </c>
    </row>
    <row r="30" spans="1:6" ht="15.75">
      <c r="A30" s="22" t="s">
        <v>1441</v>
      </c>
      <c r="B30" s="26">
        <v>40611</v>
      </c>
      <c r="C30" s="27">
        <v>0</v>
      </c>
      <c r="D30" s="25" t="str">
        <f t="shared" si="0"/>
        <v>201110</v>
      </c>
      <c r="E30" s="22" t="str">
        <f t="shared" ca="1" si="1"/>
        <v>201103</v>
      </c>
      <c r="F30" s="22">
        <v>2011</v>
      </c>
    </row>
    <row r="31" spans="1:6" ht="15.75">
      <c r="A31" s="22" t="s">
        <v>1441</v>
      </c>
      <c r="B31" s="26">
        <v>40612</v>
      </c>
      <c r="C31" s="27">
        <v>0</v>
      </c>
      <c r="D31" s="25" t="str">
        <f t="shared" si="0"/>
        <v>201110</v>
      </c>
      <c r="E31" s="22" t="str">
        <f t="shared" ca="1" si="1"/>
        <v>201103</v>
      </c>
      <c r="F31" s="22">
        <v>2011</v>
      </c>
    </row>
    <row r="32" spans="1:6" ht="15.75">
      <c r="A32" s="22" t="s">
        <v>1441</v>
      </c>
      <c r="B32" s="26">
        <v>40613</v>
      </c>
      <c r="C32" s="27">
        <v>0</v>
      </c>
      <c r="D32" s="25" t="str">
        <f t="shared" si="0"/>
        <v>201110</v>
      </c>
      <c r="E32" s="22" t="str">
        <f t="shared" ca="1" si="1"/>
        <v>201103</v>
      </c>
      <c r="F32" s="22">
        <v>2011</v>
      </c>
    </row>
    <row r="33" spans="1:6" ht="15.75">
      <c r="A33" s="22" t="s">
        <v>1441</v>
      </c>
      <c r="B33" s="26">
        <v>40614</v>
      </c>
      <c r="C33" s="27">
        <v>0</v>
      </c>
      <c r="D33" s="25" t="str">
        <f t="shared" si="0"/>
        <v>201110</v>
      </c>
      <c r="E33" s="22" t="str">
        <f t="shared" ca="1" si="1"/>
        <v>201103</v>
      </c>
      <c r="F33" s="22">
        <v>2011</v>
      </c>
    </row>
    <row r="34" spans="1:6" ht="15.75">
      <c r="A34" s="22" t="s">
        <v>1441</v>
      </c>
      <c r="B34" s="26">
        <v>40615</v>
      </c>
      <c r="C34" s="27">
        <v>0</v>
      </c>
      <c r="D34" s="25" t="str">
        <f t="shared" si="0"/>
        <v>201110</v>
      </c>
      <c r="E34" s="22" t="str">
        <f t="shared" ca="1" si="1"/>
        <v>201103</v>
      </c>
      <c r="F34" s="22">
        <v>2011</v>
      </c>
    </row>
    <row r="35" spans="1:6" ht="15.75">
      <c r="A35" s="22" t="s">
        <v>1441</v>
      </c>
      <c r="B35" s="26">
        <v>40616</v>
      </c>
      <c r="C35" s="27">
        <v>0</v>
      </c>
      <c r="D35" s="25" t="str">
        <f t="shared" si="0"/>
        <v>201111</v>
      </c>
      <c r="E35" s="22" t="str">
        <f t="shared" ca="1" si="1"/>
        <v>201103</v>
      </c>
      <c r="F35" s="22">
        <v>2011</v>
      </c>
    </row>
    <row r="36" spans="1:6" ht="15.75">
      <c r="A36" s="22" t="s">
        <v>1441</v>
      </c>
      <c r="B36" s="26">
        <v>40617</v>
      </c>
      <c r="C36" s="27">
        <v>0</v>
      </c>
      <c r="D36" s="25" t="str">
        <f t="shared" si="0"/>
        <v>201111</v>
      </c>
      <c r="E36" s="22" t="str">
        <f t="shared" ca="1" si="1"/>
        <v>201103</v>
      </c>
      <c r="F36" s="22">
        <v>2011</v>
      </c>
    </row>
    <row r="37" spans="1:6" ht="15.75">
      <c r="A37" s="22" t="s">
        <v>1441</v>
      </c>
      <c r="B37" s="26">
        <v>40618</v>
      </c>
      <c r="C37" s="27">
        <v>0</v>
      </c>
      <c r="D37" s="25" t="str">
        <f t="shared" si="0"/>
        <v>201111</v>
      </c>
      <c r="E37" s="22" t="str">
        <f t="shared" ca="1" si="1"/>
        <v>201103</v>
      </c>
      <c r="F37" s="22">
        <v>2011</v>
      </c>
    </row>
    <row r="38" spans="1:6" ht="15.75">
      <c r="A38" s="22" t="s">
        <v>1441</v>
      </c>
      <c r="B38" s="26">
        <v>40619</v>
      </c>
      <c r="C38" s="27">
        <v>0</v>
      </c>
      <c r="D38" s="25" t="str">
        <f t="shared" si="0"/>
        <v>201111</v>
      </c>
      <c r="E38" s="22" t="str">
        <f t="shared" ca="1" si="1"/>
        <v>201103</v>
      </c>
      <c r="F38" s="22">
        <v>2011</v>
      </c>
    </row>
    <row r="39" spans="1:6" ht="15.75">
      <c r="A39" s="22" t="s">
        <v>1441</v>
      </c>
      <c r="B39" s="26">
        <v>40620</v>
      </c>
      <c r="C39" s="27">
        <v>0</v>
      </c>
      <c r="D39" s="25" t="str">
        <f t="shared" si="0"/>
        <v>201111</v>
      </c>
      <c r="E39" s="22" t="str">
        <f t="shared" ca="1" si="1"/>
        <v>201103</v>
      </c>
      <c r="F39" s="22">
        <v>2011</v>
      </c>
    </row>
    <row r="40" spans="1:6" ht="15.75">
      <c r="A40" s="22" t="s">
        <v>1441</v>
      </c>
      <c r="B40" s="26">
        <v>40621</v>
      </c>
      <c r="C40" s="27">
        <v>0</v>
      </c>
      <c r="D40" s="25" t="str">
        <f t="shared" si="0"/>
        <v>201111</v>
      </c>
      <c r="E40" s="22" t="str">
        <f t="shared" ca="1" si="1"/>
        <v>201103</v>
      </c>
      <c r="F40" s="22">
        <v>2011</v>
      </c>
    </row>
    <row r="41" spans="1:6" ht="15.75">
      <c r="A41" s="22" t="s">
        <v>1441</v>
      </c>
      <c r="B41" s="26">
        <v>40622</v>
      </c>
      <c r="C41" s="27">
        <v>0</v>
      </c>
      <c r="D41" s="25" t="str">
        <f t="shared" si="0"/>
        <v>201111</v>
      </c>
      <c r="E41" s="22" t="str">
        <f t="shared" ca="1" si="1"/>
        <v>201103</v>
      </c>
      <c r="F41" s="22">
        <v>2011</v>
      </c>
    </row>
    <row r="42" spans="1:6" ht="15.75">
      <c r="A42" s="22" t="s">
        <v>1441</v>
      </c>
      <c r="B42" s="26">
        <v>40623</v>
      </c>
      <c r="C42" s="27">
        <v>0</v>
      </c>
      <c r="D42" s="25" t="str">
        <f t="shared" si="0"/>
        <v>201112</v>
      </c>
      <c r="E42" s="22" t="str">
        <f t="shared" ca="1" si="1"/>
        <v>201103</v>
      </c>
      <c r="F42" s="22">
        <v>2011</v>
      </c>
    </row>
    <row r="43" spans="1:6" ht="15.75">
      <c r="A43" s="22" t="s">
        <v>1441</v>
      </c>
      <c r="B43" s="26">
        <v>40624</v>
      </c>
      <c r="C43" s="27">
        <v>0</v>
      </c>
      <c r="D43" s="25" t="str">
        <f t="shared" si="0"/>
        <v>201112</v>
      </c>
      <c r="E43" s="22" t="str">
        <f t="shared" ca="1" si="1"/>
        <v>201103</v>
      </c>
      <c r="F43" s="22">
        <v>2011</v>
      </c>
    </row>
    <row r="44" spans="1:6" ht="15.75">
      <c r="A44" s="22" t="s">
        <v>1441</v>
      </c>
      <c r="B44" s="26">
        <v>40625</v>
      </c>
      <c r="C44" s="27">
        <v>0</v>
      </c>
      <c r="D44" s="25" t="str">
        <f t="shared" si="0"/>
        <v>201112</v>
      </c>
      <c r="E44" s="22" t="str">
        <f t="shared" ca="1" si="1"/>
        <v>201103</v>
      </c>
      <c r="F44" s="22">
        <v>2011</v>
      </c>
    </row>
    <row r="45" spans="1:6" ht="15.75">
      <c r="A45" s="22" t="s">
        <v>1441</v>
      </c>
      <c r="B45" s="26">
        <v>40626</v>
      </c>
      <c r="C45" s="27">
        <v>0</v>
      </c>
      <c r="D45" s="25" t="str">
        <f t="shared" si="0"/>
        <v>201112</v>
      </c>
      <c r="E45" s="22" t="str">
        <f t="shared" ca="1" si="1"/>
        <v>201103</v>
      </c>
      <c r="F45" s="22">
        <v>2011</v>
      </c>
    </row>
    <row r="46" spans="1:6" ht="15.75">
      <c r="A46" s="22" t="s">
        <v>1441</v>
      </c>
      <c r="B46" s="26">
        <v>40627</v>
      </c>
      <c r="C46" s="27">
        <v>0</v>
      </c>
      <c r="D46" s="25" t="str">
        <f t="shared" si="0"/>
        <v>201112</v>
      </c>
      <c r="E46" s="22" t="str">
        <f t="shared" ca="1" si="1"/>
        <v>201103</v>
      </c>
      <c r="F46" s="22">
        <v>2011</v>
      </c>
    </row>
    <row r="47" spans="1:6" ht="15.75">
      <c r="A47" s="22" t="s">
        <v>1441</v>
      </c>
      <c r="B47" s="26">
        <v>40628</v>
      </c>
      <c r="C47" s="27">
        <v>0</v>
      </c>
      <c r="D47" s="25" t="str">
        <f t="shared" si="0"/>
        <v>201112</v>
      </c>
      <c r="E47" s="22" t="str">
        <f t="shared" ca="1" si="1"/>
        <v>201103</v>
      </c>
      <c r="F47" s="22">
        <v>2011</v>
      </c>
    </row>
    <row r="48" spans="1:6" ht="15.75">
      <c r="A48" s="22" t="s">
        <v>1441</v>
      </c>
      <c r="B48" s="26">
        <v>40629</v>
      </c>
      <c r="C48" s="27">
        <v>0</v>
      </c>
      <c r="D48" s="25" t="str">
        <f t="shared" si="0"/>
        <v>201112</v>
      </c>
      <c r="E48" s="22" t="str">
        <f t="shared" ca="1" si="1"/>
        <v>201103</v>
      </c>
      <c r="F48" s="22">
        <v>2011</v>
      </c>
    </row>
    <row r="49" spans="1:6" ht="15.75">
      <c r="A49" s="22" t="s">
        <v>1441</v>
      </c>
      <c r="B49" s="26">
        <v>40630</v>
      </c>
      <c r="C49" s="27">
        <v>0</v>
      </c>
      <c r="D49" s="25" t="str">
        <f t="shared" si="0"/>
        <v>201113</v>
      </c>
      <c r="E49" s="22" t="str">
        <f t="shared" ca="1" si="1"/>
        <v>201103</v>
      </c>
      <c r="F49" s="22">
        <v>2011</v>
      </c>
    </row>
    <row r="50" spans="1:6" ht="15.75">
      <c r="A50" s="22" t="s">
        <v>1441</v>
      </c>
      <c r="B50" s="26">
        <v>40631</v>
      </c>
      <c r="C50" s="27">
        <v>0</v>
      </c>
      <c r="D50" s="25" t="str">
        <f t="shared" si="0"/>
        <v>201113</v>
      </c>
      <c r="E50" s="22" t="str">
        <f t="shared" ca="1" si="1"/>
        <v>201103</v>
      </c>
      <c r="F50" s="22">
        <v>2011</v>
      </c>
    </row>
    <row r="51" spans="1:6" ht="15.75">
      <c r="A51" s="22" t="s">
        <v>1441</v>
      </c>
      <c r="B51" s="26">
        <v>40632</v>
      </c>
      <c r="C51" s="27">
        <v>0</v>
      </c>
      <c r="D51" s="25" t="str">
        <f t="shared" si="0"/>
        <v>201113</v>
      </c>
      <c r="E51" s="22" t="str">
        <f t="shared" ca="1" si="1"/>
        <v>201103</v>
      </c>
      <c r="F51" s="22">
        <v>2011</v>
      </c>
    </row>
    <row r="52" spans="1:6" ht="15.75">
      <c r="A52" s="22" t="s">
        <v>1441</v>
      </c>
      <c r="B52" s="26">
        <v>40633</v>
      </c>
      <c r="C52" s="27">
        <v>0</v>
      </c>
      <c r="D52" s="25" t="str">
        <f t="shared" si="0"/>
        <v>201113</v>
      </c>
      <c r="E52" s="22" t="str">
        <f t="shared" ca="1" si="1"/>
        <v>201103</v>
      </c>
      <c r="F52" s="22">
        <v>2011</v>
      </c>
    </row>
    <row r="53" spans="1:6" ht="15.75">
      <c r="A53" s="22" t="s">
        <v>1441</v>
      </c>
      <c r="B53" s="26">
        <v>40634</v>
      </c>
      <c r="C53" s="27">
        <v>0</v>
      </c>
      <c r="D53" s="25" t="str">
        <f t="shared" si="0"/>
        <v>201113</v>
      </c>
      <c r="E53" s="22" t="str">
        <f t="shared" ca="1" si="1"/>
        <v>201104</v>
      </c>
      <c r="F53" s="22">
        <v>2011</v>
      </c>
    </row>
    <row r="54" spans="1:6" ht="15.75">
      <c r="A54" s="22" t="s">
        <v>1441</v>
      </c>
      <c r="B54" s="26">
        <v>40635</v>
      </c>
      <c r="C54" s="27">
        <v>0</v>
      </c>
      <c r="D54" s="25" t="str">
        <f t="shared" si="0"/>
        <v>201113</v>
      </c>
      <c r="E54" s="22" t="str">
        <f t="shared" ca="1" si="1"/>
        <v>201104</v>
      </c>
      <c r="F54" s="22">
        <v>2011</v>
      </c>
    </row>
    <row r="55" spans="1:6" ht="15.75">
      <c r="A55" s="22" t="s">
        <v>1441</v>
      </c>
      <c r="B55" s="26">
        <v>40636</v>
      </c>
      <c r="C55" s="27">
        <v>0</v>
      </c>
      <c r="D55" s="25" t="str">
        <f t="shared" si="0"/>
        <v>201113</v>
      </c>
      <c r="E55" s="22" t="str">
        <f t="shared" ca="1" si="1"/>
        <v>201104</v>
      </c>
      <c r="F55" s="22">
        <v>2011</v>
      </c>
    </row>
    <row r="56" spans="1:6" ht="15.75">
      <c r="A56" s="22" t="s">
        <v>1441</v>
      </c>
      <c r="B56" s="26">
        <v>40637</v>
      </c>
      <c r="C56" s="27">
        <v>0</v>
      </c>
      <c r="D56" s="25" t="str">
        <f t="shared" si="0"/>
        <v>201114</v>
      </c>
      <c r="E56" s="22" t="str">
        <f t="shared" ca="1" si="1"/>
        <v>201104</v>
      </c>
      <c r="F56" s="22">
        <v>2011</v>
      </c>
    </row>
    <row r="57" spans="1:6" ht="15.75">
      <c r="A57" s="22" t="s">
        <v>1441</v>
      </c>
      <c r="B57" s="26">
        <v>40638</v>
      </c>
      <c r="C57" s="27">
        <v>0</v>
      </c>
      <c r="D57" s="25" t="str">
        <f t="shared" si="0"/>
        <v>201114</v>
      </c>
      <c r="E57" s="22" t="str">
        <f t="shared" ca="1" si="1"/>
        <v>201104</v>
      </c>
      <c r="F57" s="22">
        <v>2011</v>
      </c>
    </row>
    <row r="58" spans="1:6" ht="15.75">
      <c r="A58" s="22" t="s">
        <v>1441</v>
      </c>
      <c r="B58" s="26">
        <v>40639</v>
      </c>
      <c r="C58" s="27">
        <v>0</v>
      </c>
      <c r="D58" s="25" t="str">
        <f t="shared" si="0"/>
        <v>201114</v>
      </c>
      <c r="E58" s="22" t="str">
        <f t="shared" ca="1" si="1"/>
        <v>201104</v>
      </c>
      <c r="F58" s="22">
        <v>2011</v>
      </c>
    </row>
    <row r="59" spans="1:6" ht="15.75">
      <c r="A59" s="22" t="s">
        <v>1441</v>
      </c>
      <c r="B59" s="26">
        <v>40640</v>
      </c>
      <c r="C59" s="27">
        <v>0</v>
      </c>
      <c r="D59" s="25" t="str">
        <f t="shared" si="0"/>
        <v>201114</v>
      </c>
      <c r="E59" s="22" t="str">
        <f t="shared" ca="1" si="1"/>
        <v>201104</v>
      </c>
      <c r="F59" s="22">
        <v>2011</v>
      </c>
    </row>
    <row r="60" spans="1:6" ht="15.75">
      <c r="A60" s="22" t="s">
        <v>1441</v>
      </c>
      <c r="B60" s="26">
        <v>40641</v>
      </c>
      <c r="C60" s="27">
        <v>0</v>
      </c>
      <c r="D60" s="25" t="str">
        <f t="shared" si="0"/>
        <v>201114</v>
      </c>
      <c r="E60" s="22" t="str">
        <f t="shared" ca="1" si="1"/>
        <v>201104</v>
      </c>
      <c r="F60" s="22">
        <v>2011</v>
      </c>
    </row>
    <row r="61" spans="1:6" ht="15.75">
      <c r="A61" s="22" t="s">
        <v>1441</v>
      </c>
      <c r="B61" s="26">
        <v>40642</v>
      </c>
      <c r="C61" s="27">
        <v>0</v>
      </c>
      <c r="D61" s="25" t="str">
        <f t="shared" si="0"/>
        <v>201114</v>
      </c>
      <c r="E61" s="22" t="str">
        <f t="shared" ca="1" si="1"/>
        <v>201104</v>
      </c>
      <c r="F61" s="22">
        <v>2011</v>
      </c>
    </row>
    <row r="62" spans="1:6" ht="15.75">
      <c r="A62" s="22" t="s">
        <v>1441</v>
      </c>
      <c r="B62" s="26">
        <v>40643</v>
      </c>
      <c r="C62" s="27">
        <v>0</v>
      </c>
      <c r="D62" s="25" t="str">
        <f t="shared" si="0"/>
        <v>201114</v>
      </c>
      <c r="E62" s="22" t="str">
        <f t="shared" ca="1" si="1"/>
        <v>201104</v>
      </c>
      <c r="F62" s="22">
        <v>2011</v>
      </c>
    </row>
    <row r="63" spans="1:6" ht="15.75">
      <c r="A63" s="22" t="s">
        <v>1441</v>
      </c>
      <c r="B63" s="26">
        <v>40644</v>
      </c>
      <c r="C63" s="27">
        <v>0</v>
      </c>
      <c r="D63" s="25" t="str">
        <f t="shared" si="0"/>
        <v>201115</v>
      </c>
      <c r="E63" s="22" t="str">
        <f t="shared" ca="1" si="1"/>
        <v>201104</v>
      </c>
      <c r="F63" s="22">
        <v>2011</v>
      </c>
    </row>
    <row r="64" spans="1:6" ht="15.75">
      <c r="A64" s="22" t="s">
        <v>1441</v>
      </c>
      <c r="B64" s="26">
        <v>40645</v>
      </c>
      <c r="C64" s="27">
        <v>0</v>
      </c>
      <c r="D64" s="25" t="str">
        <f t="shared" si="0"/>
        <v>201115</v>
      </c>
      <c r="E64" s="22" t="str">
        <f t="shared" ca="1" si="1"/>
        <v>201104</v>
      </c>
      <c r="F64" s="22">
        <v>2011</v>
      </c>
    </row>
    <row r="65" spans="1:6" ht="15.75">
      <c r="A65" s="22" t="s">
        <v>1441</v>
      </c>
      <c r="B65" s="26">
        <v>40646</v>
      </c>
      <c r="C65" s="27">
        <v>0</v>
      </c>
      <c r="D65" s="25" t="str">
        <f t="shared" si="0"/>
        <v>201115</v>
      </c>
      <c r="E65" s="22" t="str">
        <f t="shared" ca="1" si="1"/>
        <v>201104</v>
      </c>
      <c r="F65" s="22">
        <v>2011</v>
      </c>
    </row>
    <row r="66" spans="1:6" ht="15.75">
      <c r="A66" s="22" t="s">
        <v>1441</v>
      </c>
      <c r="B66" s="26">
        <v>40647</v>
      </c>
      <c r="C66" s="27">
        <v>0</v>
      </c>
      <c r="D66" s="25" t="str">
        <f t="shared" si="0"/>
        <v>201115</v>
      </c>
      <c r="E66" s="22" t="str">
        <f t="shared" ca="1" si="1"/>
        <v>201104</v>
      </c>
      <c r="F66" s="22">
        <v>2011</v>
      </c>
    </row>
    <row r="67" spans="1:6" ht="15.75">
      <c r="A67" s="22" t="s">
        <v>1441</v>
      </c>
      <c r="B67" s="26">
        <v>40648</v>
      </c>
      <c r="C67" s="27">
        <v>0</v>
      </c>
      <c r="D67" s="25" t="str">
        <f t="shared" ref="D67:D130" si="2">CONCATENATE(YEAR(B67-WEEKDAY(B67,3)+3),TEXT(WEEKNUM(B67,21),"00"))</f>
        <v>201115</v>
      </c>
      <c r="E67" s="22" t="str">
        <f t="shared" ref="E67:E130" ca="1" si="3">IF(
  AND(
    YEAR(B67)=YEAR(TODAY())-1,
    MONTH(B67)=MONTH(TODAY()),
    DAY(B67)&gt;DAY($H$2)
  ),
  0,
  CONCATENATE(YEAR(B67),TEXT(MONTH(B67),"00"))
)</f>
        <v>201104</v>
      </c>
      <c r="F67" s="22">
        <v>2011</v>
      </c>
    </row>
    <row r="68" spans="1:6" ht="15.75">
      <c r="A68" s="22" t="s">
        <v>1441</v>
      </c>
      <c r="B68" s="26">
        <v>40649</v>
      </c>
      <c r="C68" s="27">
        <v>0</v>
      </c>
      <c r="D68" s="25" t="str">
        <f t="shared" si="2"/>
        <v>201115</v>
      </c>
      <c r="E68" s="22" t="str">
        <f t="shared" ca="1" si="3"/>
        <v>201104</v>
      </c>
      <c r="F68" s="22">
        <v>2011</v>
      </c>
    </row>
    <row r="69" spans="1:6" ht="15.75">
      <c r="A69" s="22" t="s">
        <v>1441</v>
      </c>
      <c r="B69" s="26">
        <v>40650</v>
      </c>
      <c r="C69" s="27">
        <v>0</v>
      </c>
      <c r="D69" s="25" t="str">
        <f t="shared" si="2"/>
        <v>201115</v>
      </c>
      <c r="E69" s="22" t="str">
        <f t="shared" ca="1" si="3"/>
        <v>201104</v>
      </c>
      <c r="F69" s="22">
        <v>2011</v>
      </c>
    </row>
    <row r="70" spans="1:6" ht="15.75">
      <c r="A70" s="22" t="s">
        <v>1441</v>
      </c>
      <c r="B70" s="26">
        <v>40651</v>
      </c>
      <c r="C70" s="27">
        <v>0</v>
      </c>
      <c r="D70" s="25" t="str">
        <f t="shared" si="2"/>
        <v>201116</v>
      </c>
      <c r="E70" s="22" t="str">
        <f t="shared" ca="1" si="3"/>
        <v>201104</v>
      </c>
      <c r="F70" s="22">
        <v>2011</v>
      </c>
    </row>
    <row r="71" spans="1:6" ht="15.75">
      <c r="A71" s="22" t="s">
        <v>1441</v>
      </c>
      <c r="B71" s="26">
        <v>40652</v>
      </c>
      <c r="C71" s="27">
        <v>0</v>
      </c>
      <c r="D71" s="25" t="str">
        <f t="shared" si="2"/>
        <v>201116</v>
      </c>
      <c r="E71" s="22" t="str">
        <f t="shared" ca="1" si="3"/>
        <v>201104</v>
      </c>
      <c r="F71" s="22">
        <v>2011</v>
      </c>
    </row>
    <row r="72" spans="1:6" ht="15.75">
      <c r="A72" s="22" t="s">
        <v>1441</v>
      </c>
      <c r="B72" s="26">
        <v>40653</v>
      </c>
      <c r="C72" s="27">
        <v>0</v>
      </c>
      <c r="D72" s="25" t="str">
        <f t="shared" si="2"/>
        <v>201116</v>
      </c>
      <c r="E72" s="22" t="str">
        <f t="shared" ca="1" si="3"/>
        <v>201104</v>
      </c>
      <c r="F72" s="22">
        <v>2011</v>
      </c>
    </row>
    <row r="73" spans="1:6" ht="15.75">
      <c r="A73" s="22" t="s">
        <v>1441</v>
      </c>
      <c r="B73" s="26">
        <v>40654</v>
      </c>
      <c r="C73" s="27">
        <v>0</v>
      </c>
      <c r="D73" s="25" t="str">
        <f t="shared" si="2"/>
        <v>201116</v>
      </c>
      <c r="E73" s="22" t="str">
        <f t="shared" ca="1" si="3"/>
        <v>201104</v>
      </c>
      <c r="F73" s="22">
        <v>2011</v>
      </c>
    </row>
    <row r="74" spans="1:6" ht="15.75">
      <c r="A74" s="22" t="s">
        <v>1441</v>
      </c>
      <c r="B74" s="26">
        <v>40655</v>
      </c>
      <c r="C74" s="27">
        <v>0</v>
      </c>
      <c r="D74" s="25" t="str">
        <f t="shared" si="2"/>
        <v>201116</v>
      </c>
      <c r="E74" s="22" t="str">
        <f t="shared" ca="1" si="3"/>
        <v>201104</v>
      </c>
      <c r="F74" s="22">
        <v>2011</v>
      </c>
    </row>
    <row r="75" spans="1:6" ht="15.75">
      <c r="A75" s="22" t="s">
        <v>1441</v>
      </c>
      <c r="B75" s="26">
        <v>40656</v>
      </c>
      <c r="C75" s="27">
        <v>0</v>
      </c>
      <c r="D75" s="25" t="str">
        <f t="shared" si="2"/>
        <v>201116</v>
      </c>
      <c r="E75" s="22" t="str">
        <f t="shared" ca="1" si="3"/>
        <v>201104</v>
      </c>
      <c r="F75" s="22">
        <v>2011</v>
      </c>
    </row>
    <row r="76" spans="1:6" ht="15.75">
      <c r="A76" s="22" t="s">
        <v>1441</v>
      </c>
      <c r="B76" s="26">
        <v>40657</v>
      </c>
      <c r="C76" s="27">
        <v>0</v>
      </c>
      <c r="D76" s="25" t="str">
        <f t="shared" si="2"/>
        <v>201116</v>
      </c>
      <c r="E76" s="22" t="str">
        <f t="shared" ca="1" si="3"/>
        <v>201104</v>
      </c>
      <c r="F76" s="22">
        <v>2011</v>
      </c>
    </row>
    <row r="77" spans="1:6" ht="15.75">
      <c r="A77" s="22" t="s">
        <v>1441</v>
      </c>
      <c r="B77" s="26">
        <v>40658</v>
      </c>
      <c r="C77" s="27">
        <v>0</v>
      </c>
      <c r="D77" s="25" t="str">
        <f t="shared" si="2"/>
        <v>201117</v>
      </c>
      <c r="E77" s="22" t="str">
        <f t="shared" ca="1" si="3"/>
        <v>201104</v>
      </c>
      <c r="F77" s="22">
        <v>2011</v>
      </c>
    </row>
    <row r="78" spans="1:6" ht="15.75">
      <c r="A78" s="22" t="s">
        <v>1441</v>
      </c>
      <c r="B78" s="26">
        <v>40659</v>
      </c>
      <c r="C78" s="27">
        <v>0</v>
      </c>
      <c r="D78" s="25" t="str">
        <f t="shared" si="2"/>
        <v>201117</v>
      </c>
      <c r="E78" s="22" t="str">
        <f t="shared" ca="1" si="3"/>
        <v>201104</v>
      </c>
      <c r="F78" s="22">
        <v>2011</v>
      </c>
    </row>
    <row r="79" spans="1:6" ht="15.75">
      <c r="A79" s="22" t="s">
        <v>1441</v>
      </c>
      <c r="B79" s="26">
        <v>40660</v>
      </c>
      <c r="C79" s="27">
        <v>0</v>
      </c>
      <c r="D79" s="25" t="str">
        <f t="shared" si="2"/>
        <v>201117</v>
      </c>
      <c r="E79" s="22" t="str">
        <f t="shared" ca="1" si="3"/>
        <v>201104</v>
      </c>
      <c r="F79" s="22">
        <v>2011</v>
      </c>
    </row>
    <row r="80" spans="1:6" ht="15.75">
      <c r="A80" s="22" t="s">
        <v>1441</v>
      </c>
      <c r="B80" s="26">
        <v>40661</v>
      </c>
      <c r="C80" s="27">
        <v>0</v>
      </c>
      <c r="D80" s="25" t="str">
        <f t="shared" si="2"/>
        <v>201117</v>
      </c>
      <c r="E80" s="22" t="str">
        <f t="shared" ca="1" si="3"/>
        <v>201104</v>
      </c>
      <c r="F80" s="22">
        <v>2011</v>
      </c>
    </row>
    <row r="81" spans="1:6" ht="15.75">
      <c r="A81" s="22" t="s">
        <v>1441</v>
      </c>
      <c r="B81" s="26">
        <v>40662</v>
      </c>
      <c r="C81" s="27">
        <v>0</v>
      </c>
      <c r="D81" s="25" t="str">
        <f t="shared" si="2"/>
        <v>201117</v>
      </c>
      <c r="E81" s="22" t="str">
        <f t="shared" ca="1" si="3"/>
        <v>201104</v>
      </c>
      <c r="F81" s="22">
        <v>2011</v>
      </c>
    </row>
    <row r="82" spans="1:6" ht="15.75">
      <c r="A82" s="22" t="s">
        <v>1441</v>
      </c>
      <c r="B82" s="26">
        <v>40663</v>
      </c>
      <c r="C82" s="27">
        <v>0</v>
      </c>
      <c r="D82" s="25" t="str">
        <f t="shared" si="2"/>
        <v>201117</v>
      </c>
      <c r="E82" s="22" t="str">
        <f t="shared" ca="1" si="3"/>
        <v>201104</v>
      </c>
      <c r="F82" s="22">
        <v>2011</v>
      </c>
    </row>
    <row r="83" spans="1:6" ht="15.75">
      <c r="A83" s="22" t="s">
        <v>1441</v>
      </c>
      <c r="B83" s="26">
        <v>40664</v>
      </c>
      <c r="C83" s="27">
        <v>0</v>
      </c>
      <c r="D83" s="25" t="str">
        <f t="shared" si="2"/>
        <v>201117</v>
      </c>
      <c r="E83" s="22" t="str">
        <f t="shared" ca="1" si="3"/>
        <v>201105</v>
      </c>
      <c r="F83" s="22">
        <v>2011</v>
      </c>
    </row>
    <row r="84" spans="1:6" ht="15.75">
      <c r="A84" s="22" t="s">
        <v>1441</v>
      </c>
      <c r="B84" s="26">
        <v>40665</v>
      </c>
      <c r="C84" s="27">
        <v>0</v>
      </c>
      <c r="D84" s="25" t="str">
        <f t="shared" si="2"/>
        <v>201118</v>
      </c>
      <c r="E84" s="22" t="str">
        <f t="shared" ca="1" si="3"/>
        <v>201105</v>
      </c>
      <c r="F84" s="22">
        <v>2011</v>
      </c>
    </row>
    <row r="85" spans="1:6" ht="15.75">
      <c r="A85" s="22" t="s">
        <v>1441</v>
      </c>
      <c r="B85" s="26">
        <v>40666</v>
      </c>
      <c r="C85" s="27">
        <v>0</v>
      </c>
      <c r="D85" s="25" t="str">
        <f t="shared" si="2"/>
        <v>201118</v>
      </c>
      <c r="E85" s="22" t="str">
        <f t="shared" ca="1" si="3"/>
        <v>201105</v>
      </c>
      <c r="F85" s="22">
        <v>2011</v>
      </c>
    </row>
    <row r="86" spans="1:6" ht="15.75">
      <c r="A86" s="22" t="s">
        <v>1441</v>
      </c>
      <c r="B86" s="26">
        <v>40667</v>
      </c>
      <c r="C86" s="27">
        <v>0</v>
      </c>
      <c r="D86" s="25" t="str">
        <f t="shared" si="2"/>
        <v>201118</v>
      </c>
      <c r="E86" s="22" t="str">
        <f t="shared" ca="1" si="3"/>
        <v>201105</v>
      </c>
      <c r="F86" s="22">
        <v>2011</v>
      </c>
    </row>
    <row r="87" spans="1:6" ht="15.75">
      <c r="A87" s="22" t="s">
        <v>1441</v>
      </c>
      <c r="B87" s="26">
        <v>40668</v>
      </c>
      <c r="C87" s="27">
        <v>0</v>
      </c>
      <c r="D87" s="25" t="str">
        <f t="shared" si="2"/>
        <v>201118</v>
      </c>
      <c r="E87" s="22" t="str">
        <f t="shared" ca="1" si="3"/>
        <v>201105</v>
      </c>
      <c r="F87" s="22">
        <v>2011</v>
      </c>
    </row>
    <row r="88" spans="1:6" ht="15.75">
      <c r="A88" s="22" t="s">
        <v>1441</v>
      </c>
      <c r="B88" s="26">
        <v>40669</v>
      </c>
      <c r="C88" s="27">
        <v>0</v>
      </c>
      <c r="D88" s="25" t="str">
        <f t="shared" si="2"/>
        <v>201118</v>
      </c>
      <c r="E88" s="22" t="str">
        <f t="shared" ca="1" si="3"/>
        <v>201105</v>
      </c>
      <c r="F88" s="22">
        <v>2011</v>
      </c>
    </row>
    <row r="89" spans="1:6" ht="15.75">
      <c r="A89" s="22" t="s">
        <v>1441</v>
      </c>
      <c r="B89" s="26">
        <v>40670</v>
      </c>
      <c r="C89" s="27">
        <v>0</v>
      </c>
      <c r="D89" s="25" t="str">
        <f t="shared" si="2"/>
        <v>201118</v>
      </c>
      <c r="E89" s="22" t="str">
        <f t="shared" ca="1" si="3"/>
        <v>201105</v>
      </c>
      <c r="F89" s="22">
        <v>2011</v>
      </c>
    </row>
    <row r="90" spans="1:6" ht="15.75">
      <c r="A90" s="22" t="s">
        <v>1441</v>
      </c>
      <c r="B90" s="26">
        <v>40671</v>
      </c>
      <c r="C90" s="27">
        <v>0</v>
      </c>
      <c r="D90" s="25" t="str">
        <f t="shared" si="2"/>
        <v>201118</v>
      </c>
      <c r="E90" s="22" t="str">
        <f t="shared" ca="1" si="3"/>
        <v>201105</v>
      </c>
      <c r="F90" s="22">
        <v>2011</v>
      </c>
    </row>
    <row r="91" spans="1:6" ht="15.75">
      <c r="A91" s="22" t="s">
        <v>1441</v>
      </c>
      <c r="B91" s="26">
        <v>40672</v>
      </c>
      <c r="C91" s="27">
        <v>0</v>
      </c>
      <c r="D91" s="25" t="str">
        <f t="shared" si="2"/>
        <v>201119</v>
      </c>
      <c r="E91" s="22" t="str">
        <f t="shared" ca="1" si="3"/>
        <v>201105</v>
      </c>
      <c r="F91" s="22">
        <v>2011</v>
      </c>
    </row>
    <row r="92" spans="1:6" ht="15.75">
      <c r="A92" s="22" t="s">
        <v>1441</v>
      </c>
      <c r="B92" s="26">
        <v>40673</v>
      </c>
      <c r="C92" s="27">
        <v>0</v>
      </c>
      <c r="D92" s="25" t="str">
        <f t="shared" si="2"/>
        <v>201119</v>
      </c>
      <c r="E92" s="22" t="str">
        <f t="shared" ca="1" si="3"/>
        <v>201105</v>
      </c>
      <c r="F92" s="22">
        <v>2011</v>
      </c>
    </row>
    <row r="93" spans="1:6" ht="15.75">
      <c r="A93" s="22" t="s">
        <v>1441</v>
      </c>
      <c r="B93" s="26">
        <v>40674</v>
      </c>
      <c r="C93" s="27">
        <v>0</v>
      </c>
      <c r="D93" s="25" t="str">
        <f t="shared" si="2"/>
        <v>201119</v>
      </c>
      <c r="E93" s="22" t="str">
        <f t="shared" ca="1" si="3"/>
        <v>201105</v>
      </c>
      <c r="F93" s="22">
        <v>2011</v>
      </c>
    </row>
    <row r="94" spans="1:6" ht="15.75">
      <c r="A94" s="22" t="s">
        <v>1441</v>
      </c>
      <c r="B94" s="26">
        <v>40675</v>
      </c>
      <c r="C94" s="27">
        <v>0</v>
      </c>
      <c r="D94" s="25" t="str">
        <f t="shared" si="2"/>
        <v>201119</v>
      </c>
      <c r="E94" s="22" t="str">
        <f t="shared" ca="1" si="3"/>
        <v>201105</v>
      </c>
      <c r="F94" s="22">
        <v>2011</v>
      </c>
    </row>
    <row r="95" spans="1:6" ht="15.75">
      <c r="A95" s="22" t="s">
        <v>1441</v>
      </c>
      <c r="B95" s="26">
        <v>40676</v>
      </c>
      <c r="C95" s="27">
        <v>0</v>
      </c>
      <c r="D95" s="25" t="str">
        <f t="shared" si="2"/>
        <v>201119</v>
      </c>
      <c r="E95" s="22" t="str">
        <f t="shared" ca="1" si="3"/>
        <v>201105</v>
      </c>
      <c r="F95" s="22">
        <v>2011</v>
      </c>
    </row>
    <row r="96" spans="1:6" ht="15.75">
      <c r="A96" s="22" t="s">
        <v>1441</v>
      </c>
      <c r="B96" s="26">
        <v>40677</v>
      </c>
      <c r="C96" s="27">
        <v>0</v>
      </c>
      <c r="D96" s="25" t="str">
        <f t="shared" si="2"/>
        <v>201119</v>
      </c>
      <c r="E96" s="22" t="str">
        <f t="shared" ca="1" si="3"/>
        <v>201105</v>
      </c>
      <c r="F96" s="22">
        <v>2011</v>
      </c>
    </row>
    <row r="97" spans="1:6" ht="15.75">
      <c r="A97" s="22" t="s">
        <v>1441</v>
      </c>
      <c r="B97" s="26">
        <v>40678</v>
      </c>
      <c r="C97" s="27">
        <v>0</v>
      </c>
      <c r="D97" s="25" t="str">
        <f t="shared" si="2"/>
        <v>201119</v>
      </c>
      <c r="E97" s="22" t="str">
        <f t="shared" ca="1" si="3"/>
        <v>201105</v>
      </c>
      <c r="F97" s="22">
        <v>2011</v>
      </c>
    </row>
    <row r="98" spans="1:6" ht="15.75">
      <c r="A98" s="22" t="s">
        <v>1441</v>
      </c>
      <c r="B98" s="26">
        <v>40679</v>
      </c>
      <c r="C98" s="27">
        <v>0</v>
      </c>
      <c r="D98" s="25" t="str">
        <f t="shared" si="2"/>
        <v>201120</v>
      </c>
      <c r="E98" s="22" t="str">
        <f t="shared" ca="1" si="3"/>
        <v>201105</v>
      </c>
      <c r="F98" s="22">
        <v>2011</v>
      </c>
    </row>
    <row r="99" spans="1:6" ht="15.75">
      <c r="A99" s="22" t="s">
        <v>1441</v>
      </c>
      <c r="B99" s="26">
        <v>40680</v>
      </c>
      <c r="C99" s="27">
        <v>0</v>
      </c>
      <c r="D99" s="25" t="str">
        <f t="shared" si="2"/>
        <v>201120</v>
      </c>
      <c r="E99" s="22" t="str">
        <f t="shared" ca="1" si="3"/>
        <v>201105</v>
      </c>
      <c r="F99" s="22">
        <v>2011</v>
      </c>
    </row>
    <row r="100" spans="1:6" ht="15.75">
      <c r="A100" s="22" t="s">
        <v>1441</v>
      </c>
      <c r="B100" s="26">
        <v>40681</v>
      </c>
      <c r="C100" s="27">
        <v>0</v>
      </c>
      <c r="D100" s="25" t="str">
        <f t="shared" si="2"/>
        <v>201120</v>
      </c>
      <c r="E100" s="22" t="str">
        <f t="shared" ca="1" si="3"/>
        <v>201105</v>
      </c>
      <c r="F100" s="22">
        <v>2011</v>
      </c>
    </row>
    <row r="101" spans="1:6" ht="15.75">
      <c r="A101" s="22" t="s">
        <v>1441</v>
      </c>
      <c r="B101" s="26">
        <v>40682</v>
      </c>
      <c r="C101" s="27">
        <v>0</v>
      </c>
      <c r="D101" s="25" t="str">
        <f t="shared" si="2"/>
        <v>201120</v>
      </c>
      <c r="E101" s="22" t="str">
        <f t="shared" ca="1" si="3"/>
        <v>201105</v>
      </c>
      <c r="F101" s="22">
        <v>2011</v>
      </c>
    </row>
    <row r="102" spans="1:6" ht="15.75">
      <c r="A102" s="22" t="s">
        <v>1441</v>
      </c>
      <c r="B102" s="26">
        <v>40683</v>
      </c>
      <c r="C102" s="27">
        <v>0</v>
      </c>
      <c r="D102" s="25" t="str">
        <f t="shared" si="2"/>
        <v>201120</v>
      </c>
      <c r="E102" s="22" t="str">
        <f t="shared" ca="1" si="3"/>
        <v>201105</v>
      </c>
      <c r="F102" s="22">
        <v>2011</v>
      </c>
    </row>
    <row r="103" spans="1:6" ht="15.75">
      <c r="A103" s="22" t="s">
        <v>1441</v>
      </c>
      <c r="B103" s="26">
        <v>40684</v>
      </c>
      <c r="C103" s="27">
        <v>0</v>
      </c>
      <c r="D103" s="25" t="str">
        <f t="shared" si="2"/>
        <v>201120</v>
      </c>
      <c r="E103" s="22" t="str">
        <f t="shared" ca="1" si="3"/>
        <v>201105</v>
      </c>
      <c r="F103" s="22">
        <v>2011</v>
      </c>
    </row>
    <row r="104" spans="1:6" ht="15.75">
      <c r="A104" s="22" t="s">
        <v>1441</v>
      </c>
      <c r="B104" s="26">
        <v>40685</v>
      </c>
      <c r="C104" s="27">
        <v>0</v>
      </c>
      <c r="D104" s="25" t="str">
        <f t="shared" si="2"/>
        <v>201120</v>
      </c>
      <c r="E104" s="22" t="str">
        <f t="shared" ca="1" si="3"/>
        <v>201105</v>
      </c>
      <c r="F104" s="22">
        <v>2011</v>
      </c>
    </row>
    <row r="105" spans="1:6" ht="15.75">
      <c r="A105" s="22" t="s">
        <v>1441</v>
      </c>
      <c r="B105" s="26">
        <v>40686</v>
      </c>
      <c r="C105" s="27">
        <v>0</v>
      </c>
      <c r="D105" s="25" t="str">
        <f t="shared" si="2"/>
        <v>201121</v>
      </c>
      <c r="E105" s="22" t="str">
        <f t="shared" ca="1" si="3"/>
        <v>201105</v>
      </c>
      <c r="F105" s="22">
        <v>2011</v>
      </c>
    </row>
    <row r="106" spans="1:6" ht="15.75">
      <c r="A106" s="22" t="s">
        <v>1441</v>
      </c>
      <c r="B106" s="26">
        <v>40687</v>
      </c>
      <c r="C106" s="27">
        <v>0</v>
      </c>
      <c r="D106" s="25" t="str">
        <f t="shared" si="2"/>
        <v>201121</v>
      </c>
      <c r="E106" s="22" t="str">
        <f t="shared" ca="1" si="3"/>
        <v>201105</v>
      </c>
      <c r="F106" s="22">
        <v>2011</v>
      </c>
    </row>
    <row r="107" spans="1:6" ht="15.75">
      <c r="A107" s="22" t="s">
        <v>1441</v>
      </c>
      <c r="B107" s="26">
        <v>40688</v>
      </c>
      <c r="C107" s="27">
        <v>0</v>
      </c>
      <c r="D107" s="25" t="str">
        <f t="shared" si="2"/>
        <v>201121</v>
      </c>
      <c r="E107" s="22" t="str">
        <f t="shared" ca="1" si="3"/>
        <v>201105</v>
      </c>
      <c r="F107" s="22">
        <v>2011</v>
      </c>
    </row>
    <row r="108" spans="1:6" ht="15.75">
      <c r="A108" s="22" t="s">
        <v>1441</v>
      </c>
      <c r="B108" s="26">
        <v>40689</v>
      </c>
      <c r="C108" s="27">
        <v>0</v>
      </c>
      <c r="D108" s="25" t="str">
        <f t="shared" si="2"/>
        <v>201121</v>
      </c>
      <c r="E108" s="22" t="str">
        <f t="shared" ca="1" si="3"/>
        <v>201105</v>
      </c>
      <c r="F108" s="22">
        <v>2011</v>
      </c>
    </row>
    <row r="109" spans="1:6" ht="15.75">
      <c r="A109" s="22" t="s">
        <v>1441</v>
      </c>
      <c r="B109" s="26">
        <v>40690</v>
      </c>
      <c r="C109" s="27">
        <v>0</v>
      </c>
      <c r="D109" s="25" t="str">
        <f t="shared" si="2"/>
        <v>201121</v>
      </c>
      <c r="E109" s="22" t="str">
        <f t="shared" ca="1" si="3"/>
        <v>201105</v>
      </c>
      <c r="F109" s="22">
        <v>2011</v>
      </c>
    </row>
    <row r="110" spans="1:6" ht="15.75">
      <c r="A110" s="22" t="s">
        <v>1441</v>
      </c>
      <c r="B110" s="26">
        <v>40691</v>
      </c>
      <c r="C110" s="27">
        <v>0</v>
      </c>
      <c r="D110" s="25" t="str">
        <f t="shared" si="2"/>
        <v>201121</v>
      </c>
      <c r="E110" s="22" t="str">
        <f t="shared" ca="1" si="3"/>
        <v>201105</v>
      </c>
      <c r="F110" s="22">
        <v>2011</v>
      </c>
    </row>
    <row r="111" spans="1:6" ht="15.75">
      <c r="A111" s="22" t="s">
        <v>1441</v>
      </c>
      <c r="B111" s="26">
        <v>40692</v>
      </c>
      <c r="C111" s="27">
        <v>0</v>
      </c>
      <c r="D111" s="25" t="str">
        <f t="shared" si="2"/>
        <v>201121</v>
      </c>
      <c r="E111" s="22" t="str">
        <f t="shared" ca="1" si="3"/>
        <v>201105</v>
      </c>
      <c r="F111" s="22">
        <v>2011</v>
      </c>
    </row>
    <row r="112" spans="1:6" ht="15.75">
      <c r="A112" s="22" t="s">
        <v>1441</v>
      </c>
      <c r="B112" s="26">
        <v>40693</v>
      </c>
      <c r="C112" s="27">
        <v>0</v>
      </c>
      <c r="D112" s="25" t="str">
        <f t="shared" si="2"/>
        <v>201122</v>
      </c>
      <c r="E112" s="22" t="str">
        <f t="shared" ca="1" si="3"/>
        <v>201105</v>
      </c>
      <c r="F112" s="22">
        <v>2011</v>
      </c>
    </row>
    <row r="113" spans="1:6" ht="15.75">
      <c r="A113" s="22" t="s">
        <v>1441</v>
      </c>
      <c r="B113" s="26">
        <v>40694</v>
      </c>
      <c r="C113" s="27">
        <v>0</v>
      </c>
      <c r="D113" s="25" t="str">
        <f t="shared" si="2"/>
        <v>201122</v>
      </c>
      <c r="E113" s="22" t="str">
        <f t="shared" ca="1" si="3"/>
        <v>201105</v>
      </c>
      <c r="F113" s="22">
        <v>2011</v>
      </c>
    </row>
    <row r="114" spans="1:6" ht="15.75">
      <c r="A114" s="22" t="s">
        <v>1441</v>
      </c>
      <c r="B114" s="26">
        <v>40695</v>
      </c>
      <c r="C114" s="27">
        <v>0</v>
      </c>
      <c r="D114" s="25" t="str">
        <f t="shared" si="2"/>
        <v>201122</v>
      </c>
      <c r="E114" s="22" t="str">
        <f t="shared" ca="1" si="3"/>
        <v>201106</v>
      </c>
      <c r="F114" s="22">
        <v>2011</v>
      </c>
    </row>
    <row r="115" spans="1:6" ht="15.75">
      <c r="A115" s="22" t="s">
        <v>1441</v>
      </c>
      <c r="B115" s="26">
        <v>40696</v>
      </c>
      <c r="C115" s="27">
        <v>0</v>
      </c>
      <c r="D115" s="25" t="str">
        <f t="shared" si="2"/>
        <v>201122</v>
      </c>
      <c r="E115" s="22" t="str">
        <f t="shared" ca="1" si="3"/>
        <v>201106</v>
      </c>
      <c r="F115" s="22">
        <v>2011</v>
      </c>
    </row>
    <row r="116" spans="1:6" ht="15.75">
      <c r="A116" s="22" t="s">
        <v>1441</v>
      </c>
      <c r="B116" s="26">
        <v>40697</v>
      </c>
      <c r="C116" s="27">
        <v>0</v>
      </c>
      <c r="D116" s="25" t="str">
        <f t="shared" si="2"/>
        <v>201122</v>
      </c>
      <c r="E116" s="22" t="str">
        <f t="shared" ca="1" si="3"/>
        <v>201106</v>
      </c>
      <c r="F116" s="22">
        <v>2011</v>
      </c>
    </row>
    <row r="117" spans="1:6" ht="15.75">
      <c r="A117" s="22" t="s">
        <v>1441</v>
      </c>
      <c r="B117" s="26">
        <v>40698</v>
      </c>
      <c r="C117" s="27">
        <v>0</v>
      </c>
      <c r="D117" s="25" t="str">
        <f t="shared" si="2"/>
        <v>201122</v>
      </c>
      <c r="E117" s="22" t="str">
        <f t="shared" ca="1" si="3"/>
        <v>201106</v>
      </c>
      <c r="F117" s="22">
        <v>2011</v>
      </c>
    </row>
    <row r="118" spans="1:6" ht="15.75">
      <c r="A118" s="22" t="s">
        <v>1441</v>
      </c>
      <c r="B118" s="26">
        <v>40699</v>
      </c>
      <c r="C118" s="27">
        <v>0</v>
      </c>
      <c r="D118" s="25" t="str">
        <f t="shared" si="2"/>
        <v>201122</v>
      </c>
      <c r="E118" s="22" t="str">
        <f t="shared" ca="1" si="3"/>
        <v>201106</v>
      </c>
      <c r="F118" s="22">
        <v>2011</v>
      </c>
    </row>
    <row r="119" spans="1:6" ht="15.75">
      <c r="A119" s="22" t="s">
        <v>1441</v>
      </c>
      <c r="B119" s="26">
        <v>40700</v>
      </c>
      <c r="C119" s="27">
        <v>0</v>
      </c>
      <c r="D119" s="25" t="str">
        <f t="shared" si="2"/>
        <v>201123</v>
      </c>
      <c r="E119" s="22" t="str">
        <f t="shared" ca="1" si="3"/>
        <v>201106</v>
      </c>
      <c r="F119" s="22">
        <v>2011</v>
      </c>
    </row>
    <row r="120" spans="1:6" ht="15.75">
      <c r="A120" s="22" t="s">
        <v>1441</v>
      </c>
      <c r="B120" s="26">
        <v>40701</v>
      </c>
      <c r="C120" s="27">
        <v>0</v>
      </c>
      <c r="D120" s="25" t="str">
        <f t="shared" si="2"/>
        <v>201123</v>
      </c>
      <c r="E120" s="22" t="str">
        <f t="shared" ca="1" si="3"/>
        <v>201106</v>
      </c>
      <c r="F120" s="22">
        <v>2011</v>
      </c>
    </row>
    <row r="121" spans="1:6" ht="15.75">
      <c r="A121" s="22" t="s">
        <v>1441</v>
      </c>
      <c r="B121" s="26">
        <v>40702</v>
      </c>
      <c r="C121" s="27">
        <v>0</v>
      </c>
      <c r="D121" s="25" t="str">
        <f t="shared" si="2"/>
        <v>201123</v>
      </c>
      <c r="E121" s="22" t="str">
        <f t="shared" ca="1" si="3"/>
        <v>201106</v>
      </c>
      <c r="F121" s="22">
        <v>2011</v>
      </c>
    </row>
    <row r="122" spans="1:6" ht="15.75">
      <c r="A122" s="22" t="s">
        <v>1441</v>
      </c>
      <c r="B122" s="26">
        <v>40703</v>
      </c>
      <c r="C122" s="27">
        <v>0</v>
      </c>
      <c r="D122" s="25" t="str">
        <f t="shared" si="2"/>
        <v>201123</v>
      </c>
      <c r="E122" s="22" t="str">
        <f t="shared" ca="1" si="3"/>
        <v>201106</v>
      </c>
      <c r="F122" s="22">
        <v>2011</v>
      </c>
    </row>
    <row r="123" spans="1:6" ht="15.75">
      <c r="A123" s="22" t="s">
        <v>1441</v>
      </c>
      <c r="B123" s="26">
        <v>40704</v>
      </c>
      <c r="C123" s="27">
        <v>0</v>
      </c>
      <c r="D123" s="25" t="str">
        <f t="shared" si="2"/>
        <v>201123</v>
      </c>
      <c r="E123" s="22" t="str">
        <f t="shared" ca="1" si="3"/>
        <v>201106</v>
      </c>
      <c r="F123" s="22">
        <v>2011</v>
      </c>
    </row>
    <row r="124" spans="1:6" ht="15.75">
      <c r="A124" s="22" t="s">
        <v>1441</v>
      </c>
      <c r="B124" s="26">
        <v>40705</v>
      </c>
      <c r="C124" s="27">
        <v>0</v>
      </c>
      <c r="D124" s="25" t="str">
        <f t="shared" si="2"/>
        <v>201123</v>
      </c>
      <c r="E124" s="22" t="str">
        <f t="shared" ca="1" si="3"/>
        <v>201106</v>
      </c>
      <c r="F124" s="22">
        <v>2011</v>
      </c>
    </row>
    <row r="125" spans="1:6" ht="15.75">
      <c r="A125" s="22" t="s">
        <v>1441</v>
      </c>
      <c r="B125" s="26">
        <v>40706</v>
      </c>
      <c r="C125" s="27">
        <v>0</v>
      </c>
      <c r="D125" s="25" t="str">
        <f t="shared" si="2"/>
        <v>201123</v>
      </c>
      <c r="E125" s="22" t="str">
        <f t="shared" ca="1" si="3"/>
        <v>201106</v>
      </c>
      <c r="F125" s="22">
        <v>2011</v>
      </c>
    </row>
    <row r="126" spans="1:6" ht="15.75">
      <c r="A126" s="22" t="s">
        <v>1441</v>
      </c>
      <c r="B126" s="26">
        <v>40707</v>
      </c>
      <c r="C126" s="27">
        <v>0</v>
      </c>
      <c r="D126" s="25" t="str">
        <f t="shared" si="2"/>
        <v>201124</v>
      </c>
      <c r="E126" s="22" t="str">
        <f t="shared" ca="1" si="3"/>
        <v>201106</v>
      </c>
      <c r="F126" s="22">
        <v>2011</v>
      </c>
    </row>
    <row r="127" spans="1:6" ht="15.75">
      <c r="A127" s="22" t="s">
        <v>1441</v>
      </c>
      <c r="B127" s="26">
        <v>40708</v>
      </c>
      <c r="C127" s="27">
        <v>0</v>
      </c>
      <c r="D127" s="25" t="str">
        <f t="shared" si="2"/>
        <v>201124</v>
      </c>
      <c r="E127" s="22" t="str">
        <f t="shared" ca="1" si="3"/>
        <v>201106</v>
      </c>
      <c r="F127" s="22">
        <v>2011</v>
      </c>
    </row>
    <row r="128" spans="1:6" ht="15.75">
      <c r="A128" s="22" t="s">
        <v>1441</v>
      </c>
      <c r="B128" s="26">
        <v>40709</v>
      </c>
      <c r="C128" s="27">
        <v>0</v>
      </c>
      <c r="D128" s="25" t="str">
        <f t="shared" si="2"/>
        <v>201124</v>
      </c>
      <c r="E128" s="22" t="str">
        <f t="shared" ca="1" si="3"/>
        <v>201106</v>
      </c>
      <c r="F128" s="22">
        <v>2011</v>
      </c>
    </row>
    <row r="129" spans="1:6" ht="15.75">
      <c r="A129" s="22" t="s">
        <v>1441</v>
      </c>
      <c r="B129" s="26">
        <v>40710</v>
      </c>
      <c r="C129" s="27">
        <v>0</v>
      </c>
      <c r="D129" s="25" t="str">
        <f t="shared" si="2"/>
        <v>201124</v>
      </c>
      <c r="E129" s="22" t="str">
        <f t="shared" ca="1" si="3"/>
        <v>201106</v>
      </c>
      <c r="F129" s="22">
        <v>2011</v>
      </c>
    </row>
    <row r="130" spans="1:6" ht="15.75">
      <c r="A130" s="22" t="s">
        <v>1441</v>
      </c>
      <c r="B130" s="26">
        <v>40711</v>
      </c>
      <c r="C130" s="27">
        <v>0</v>
      </c>
      <c r="D130" s="25" t="str">
        <f t="shared" si="2"/>
        <v>201124</v>
      </c>
      <c r="E130" s="22" t="str">
        <f t="shared" ca="1" si="3"/>
        <v>201106</v>
      </c>
      <c r="F130" s="22">
        <v>2011</v>
      </c>
    </row>
    <row r="131" spans="1:6" ht="15.75">
      <c r="A131" s="22" t="s">
        <v>1441</v>
      </c>
      <c r="B131" s="26">
        <v>40712</v>
      </c>
      <c r="C131" s="27">
        <v>0</v>
      </c>
      <c r="D131" s="25" t="str">
        <f t="shared" ref="D131:D194" si="4">CONCATENATE(YEAR(B131-WEEKDAY(B131,3)+3),TEXT(WEEKNUM(B131,21),"00"))</f>
        <v>201124</v>
      </c>
      <c r="E131" s="22" t="str">
        <f t="shared" ref="E131:E194" ca="1" si="5">IF(
  AND(
    YEAR(B131)=YEAR(TODAY())-1,
    MONTH(B131)=MONTH(TODAY()),
    DAY(B131)&gt;DAY($H$2)
  ),
  0,
  CONCATENATE(YEAR(B131),TEXT(MONTH(B131),"00"))
)</f>
        <v>201106</v>
      </c>
      <c r="F131" s="22">
        <v>2011</v>
      </c>
    </row>
    <row r="132" spans="1:6" ht="15.75">
      <c r="A132" s="22" t="s">
        <v>1441</v>
      </c>
      <c r="B132" s="26">
        <v>40713</v>
      </c>
      <c r="C132" s="27">
        <v>0</v>
      </c>
      <c r="D132" s="25" t="str">
        <f t="shared" si="4"/>
        <v>201124</v>
      </c>
      <c r="E132" s="22" t="str">
        <f t="shared" ca="1" si="5"/>
        <v>201106</v>
      </c>
      <c r="F132" s="22">
        <v>2011</v>
      </c>
    </row>
    <row r="133" spans="1:6" ht="15.75">
      <c r="A133" s="22" t="s">
        <v>1441</v>
      </c>
      <c r="B133" s="26">
        <v>40714</v>
      </c>
      <c r="C133" s="27">
        <v>0</v>
      </c>
      <c r="D133" s="25" t="str">
        <f t="shared" si="4"/>
        <v>201125</v>
      </c>
      <c r="E133" s="22" t="str">
        <f t="shared" ca="1" si="5"/>
        <v>201106</v>
      </c>
      <c r="F133" s="22">
        <v>2011</v>
      </c>
    </row>
    <row r="134" spans="1:6" ht="15.75">
      <c r="A134" s="22" t="s">
        <v>1441</v>
      </c>
      <c r="B134" s="26">
        <v>40715</v>
      </c>
      <c r="C134" s="27">
        <v>0</v>
      </c>
      <c r="D134" s="25" t="str">
        <f t="shared" si="4"/>
        <v>201125</v>
      </c>
      <c r="E134" s="22" t="str">
        <f t="shared" ca="1" si="5"/>
        <v>201106</v>
      </c>
      <c r="F134" s="22">
        <v>2011</v>
      </c>
    </row>
    <row r="135" spans="1:6" ht="15.75">
      <c r="A135" s="22" t="s">
        <v>1441</v>
      </c>
      <c r="B135" s="26">
        <v>40716</v>
      </c>
      <c r="C135" s="27">
        <v>0</v>
      </c>
      <c r="D135" s="25" t="str">
        <f t="shared" si="4"/>
        <v>201125</v>
      </c>
      <c r="E135" s="22" t="str">
        <f t="shared" ca="1" si="5"/>
        <v>201106</v>
      </c>
      <c r="F135" s="22">
        <v>2011</v>
      </c>
    </row>
    <row r="136" spans="1:6" ht="15.75">
      <c r="A136" s="22" t="s">
        <v>1441</v>
      </c>
      <c r="B136" s="26">
        <v>40717</v>
      </c>
      <c r="C136" s="27">
        <v>0</v>
      </c>
      <c r="D136" s="25" t="str">
        <f t="shared" si="4"/>
        <v>201125</v>
      </c>
      <c r="E136" s="22" t="str">
        <f t="shared" ca="1" si="5"/>
        <v>201106</v>
      </c>
      <c r="F136" s="22">
        <v>2011</v>
      </c>
    </row>
    <row r="137" spans="1:6" ht="15.75">
      <c r="A137" s="22" t="s">
        <v>1441</v>
      </c>
      <c r="B137" s="26">
        <v>40718</v>
      </c>
      <c r="C137" s="27">
        <v>0</v>
      </c>
      <c r="D137" s="25" t="str">
        <f t="shared" si="4"/>
        <v>201125</v>
      </c>
      <c r="E137" s="22" t="str">
        <f t="shared" ca="1" si="5"/>
        <v>201106</v>
      </c>
      <c r="F137" s="22">
        <v>2011</v>
      </c>
    </row>
    <row r="138" spans="1:6" ht="15.75">
      <c r="A138" s="22" t="s">
        <v>1441</v>
      </c>
      <c r="B138" s="26">
        <v>40719</v>
      </c>
      <c r="C138" s="27">
        <v>0</v>
      </c>
      <c r="D138" s="25" t="str">
        <f t="shared" si="4"/>
        <v>201125</v>
      </c>
      <c r="E138" s="22" t="str">
        <f t="shared" ca="1" si="5"/>
        <v>201106</v>
      </c>
      <c r="F138" s="22">
        <v>2011</v>
      </c>
    </row>
    <row r="139" spans="1:6" ht="15.75">
      <c r="A139" s="22" t="s">
        <v>1441</v>
      </c>
      <c r="B139" s="26">
        <v>40720</v>
      </c>
      <c r="C139" s="27">
        <v>0</v>
      </c>
      <c r="D139" s="25" t="str">
        <f t="shared" si="4"/>
        <v>201125</v>
      </c>
      <c r="E139" s="22" t="str">
        <f t="shared" ca="1" si="5"/>
        <v>201106</v>
      </c>
      <c r="F139" s="22">
        <v>2011</v>
      </c>
    </row>
    <row r="140" spans="1:6" ht="15.75">
      <c r="A140" s="22" t="s">
        <v>1441</v>
      </c>
      <c r="B140" s="26">
        <v>40721</v>
      </c>
      <c r="C140" s="27">
        <v>0</v>
      </c>
      <c r="D140" s="25" t="str">
        <f t="shared" si="4"/>
        <v>201126</v>
      </c>
      <c r="E140" s="22" t="str">
        <f t="shared" ca="1" si="5"/>
        <v>201106</v>
      </c>
      <c r="F140" s="22">
        <v>2011</v>
      </c>
    </row>
    <row r="141" spans="1:6" ht="15.75">
      <c r="A141" s="22" t="s">
        <v>1441</v>
      </c>
      <c r="B141" s="26">
        <v>40722</v>
      </c>
      <c r="C141" s="27">
        <v>0</v>
      </c>
      <c r="D141" s="25" t="str">
        <f t="shared" si="4"/>
        <v>201126</v>
      </c>
      <c r="E141" s="22" t="str">
        <f t="shared" ca="1" si="5"/>
        <v>201106</v>
      </c>
      <c r="F141" s="22">
        <v>2011</v>
      </c>
    </row>
    <row r="142" spans="1:6" ht="15.75">
      <c r="A142" s="22" t="s">
        <v>1441</v>
      </c>
      <c r="B142" s="26">
        <v>40723</v>
      </c>
      <c r="C142" s="27">
        <v>0</v>
      </c>
      <c r="D142" s="25" t="str">
        <f t="shared" si="4"/>
        <v>201126</v>
      </c>
      <c r="E142" s="22" t="str">
        <f t="shared" ca="1" si="5"/>
        <v>201106</v>
      </c>
      <c r="F142" s="22">
        <v>2011</v>
      </c>
    </row>
    <row r="143" spans="1:6" ht="15.75">
      <c r="A143" s="22" t="s">
        <v>1441</v>
      </c>
      <c r="B143" s="26">
        <v>40724</v>
      </c>
      <c r="C143" s="27">
        <v>0</v>
      </c>
      <c r="D143" s="25" t="str">
        <f t="shared" si="4"/>
        <v>201126</v>
      </c>
      <c r="E143" s="22" t="str">
        <f t="shared" ca="1" si="5"/>
        <v>201106</v>
      </c>
      <c r="F143" s="22">
        <v>2011</v>
      </c>
    </row>
    <row r="144" spans="1:6" ht="15.75">
      <c r="A144" s="22" t="s">
        <v>1441</v>
      </c>
      <c r="B144" s="26">
        <v>40725</v>
      </c>
      <c r="C144" s="27">
        <v>0</v>
      </c>
      <c r="D144" s="25" t="str">
        <f t="shared" si="4"/>
        <v>201126</v>
      </c>
      <c r="E144" s="22" t="str">
        <f t="shared" ca="1" si="5"/>
        <v>201107</v>
      </c>
      <c r="F144" s="22">
        <v>2011</v>
      </c>
    </row>
    <row r="145" spans="1:6" ht="15.75">
      <c r="A145" s="22" t="s">
        <v>1441</v>
      </c>
      <c r="B145" s="26">
        <v>40726</v>
      </c>
      <c r="C145" s="27">
        <v>0</v>
      </c>
      <c r="D145" s="25" t="str">
        <f t="shared" si="4"/>
        <v>201126</v>
      </c>
      <c r="E145" s="22" t="str">
        <f t="shared" ca="1" si="5"/>
        <v>201107</v>
      </c>
      <c r="F145" s="22">
        <v>2011</v>
      </c>
    </row>
    <row r="146" spans="1:6" ht="15.75">
      <c r="A146" s="22" t="s">
        <v>1441</v>
      </c>
      <c r="B146" s="26">
        <v>40727</v>
      </c>
      <c r="C146" s="27">
        <v>0</v>
      </c>
      <c r="D146" s="25" t="str">
        <f t="shared" si="4"/>
        <v>201126</v>
      </c>
      <c r="E146" s="22" t="str">
        <f t="shared" ca="1" si="5"/>
        <v>201107</v>
      </c>
      <c r="F146" s="22">
        <v>2011</v>
      </c>
    </row>
    <row r="147" spans="1:6" ht="15.75">
      <c r="A147" s="22" t="s">
        <v>1441</v>
      </c>
      <c r="B147" s="26">
        <v>40728</v>
      </c>
      <c r="C147" s="27">
        <v>0</v>
      </c>
      <c r="D147" s="25" t="str">
        <f t="shared" si="4"/>
        <v>201127</v>
      </c>
      <c r="E147" s="22" t="str">
        <f t="shared" ca="1" si="5"/>
        <v>201107</v>
      </c>
      <c r="F147" s="22">
        <v>2011</v>
      </c>
    </row>
    <row r="148" spans="1:6" ht="15.75">
      <c r="A148" s="22" t="s">
        <v>1441</v>
      </c>
      <c r="B148" s="26">
        <v>40729</v>
      </c>
      <c r="C148" s="27">
        <v>0</v>
      </c>
      <c r="D148" s="25" t="str">
        <f t="shared" si="4"/>
        <v>201127</v>
      </c>
      <c r="E148" s="22" t="str">
        <f t="shared" ca="1" si="5"/>
        <v>201107</v>
      </c>
      <c r="F148" s="22">
        <v>2011</v>
      </c>
    </row>
    <row r="149" spans="1:6" ht="15.75">
      <c r="A149" s="22" t="s">
        <v>1441</v>
      </c>
      <c r="B149" s="26">
        <v>40730</v>
      </c>
      <c r="C149" s="27">
        <v>0</v>
      </c>
      <c r="D149" s="25" t="str">
        <f t="shared" si="4"/>
        <v>201127</v>
      </c>
      <c r="E149" s="22" t="str">
        <f t="shared" ca="1" si="5"/>
        <v>201107</v>
      </c>
      <c r="F149" s="22">
        <v>2011</v>
      </c>
    </row>
    <row r="150" spans="1:6" ht="15.75">
      <c r="A150" s="22" t="s">
        <v>1441</v>
      </c>
      <c r="B150" s="26">
        <v>40731</v>
      </c>
      <c r="C150" s="27">
        <v>0</v>
      </c>
      <c r="D150" s="25" t="str">
        <f t="shared" si="4"/>
        <v>201127</v>
      </c>
      <c r="E150" s="22" t="str">
        <f t="shared" ca="1" si="5"/>
        <v>201107</v>
      </c>
      <c r="F150" s="22">
        <v>2011</v>
      </c>
    </row>
    <row r="151" spans="1:6" ht="15.75">
      <c r="A151" s="22" t="s">
        <v>1441</v>
      </c>
      <c r="B151" s="26">
        <v>40732</v>
      </c>
      <c r="C151" s="27">
        <v>0</v>
      </c>
      <c r="D151" s="25" t="str">
        <f t="shared" si="4"/>
        <v>201127</v>
      </c>
      <c r="E151" s="22" t="str">
        <f t="shared" ca="1" si="5"/>
        <v>201107</v>
      </c>
      <c r="F151" s="22">
        <v>2011</v>
      </c>
    </row>
    <row r="152" spans="1:6" ht="15.75">
      <c r="A152" s="22" t="s">
        <v>1441</v>
      </c>
      <c r="B152" s="26">
        <v>40733</v>
      </c>
      <c r="C152" s="27">
        <v>0</v>
      </c>
      <c r="D152" s="25" t="str">
        <f t="shared" si="4"/>
        <v>201127</v>
      </c>
      <c r="E152" s="22" t="str">
        <f t="shared" ca="1" si="5"/>
        <v>201107</v>
      </c>
      <c r="F152" s="22">
        <v>2011</v>
      </c>
    </row>
    <row r="153" spans="1:6" ht="15.75">
      <c r="A153" s="22" t="s">
        <v>1441</v>
      </c>
      <c r="B153" s="26">
        <v>40734</v>
      </c>
      <c r="C153" s="27">
        <v>0</v>
      </c>
      <c r="D153" s="25" t="str">
        <f t="shared" si="4"/>
        <v>201127</v>
      </c>
      <c r="E153" s="22" t="str">
        <f t="shared" ca="1" si="5"/>
        <v>201107</v>
      </c>
      <c r="F153" s="22">
        <v>2011</v>
      </c>
    </row>
    <row r="154" spans="1:6" ht="15.75">
      <c r="A154" s="22" t="s">
        <v>1441</v>
      </c>
      <c r="B154" s="26">
        <v>40735</v>
      </c>
      <c r="C154" s="27">
        <v>0</v>
      </c>
      <c r="D154" s="25" t="str">
        <f t="shared" si="4"/>
        <v>201128</v>
      </c>
      <c r="E154" s="22" t="str">
        <f t="shared" ca="1" si="5"/>
        <v>201107</v>
      </c>
      <c r="F154" s="22">
        <v>2011</v>
      </c>
    </row>
    <row r="155" spans="1:6" ht="15.75">
      <c r="A155" s="22" t="s">
        <v>1441</v>
      </c>
      <c r="B155" s="26">
        <v>40736</v>
      </c>
      <c r="C155" s="27">
        <v>0</v>
      </c>
      <c r="D155" s="25" t="str">
        <f t="shared" si="4"/>
        <v>201128</v>
      </c>
      <c r="E155" s="22" t="str">
        <f t="shared" ca="1" si="5"/>
        <v>201107</v>
      </c>
      <c r="F155" s="22">
        <v>2011</v>
      </c>
    </row>
    <row r="156" spans="1:6" ht="15.75">
      <c r="A156" s="22" t="s">
        <v>1441</v>
      </c>
      <c r="B156" s="26">
        <v>40737</v>
      </c>
      <c r="C156" s="27">
        <v>0</v>
      </c>
      <c r="D156" s="25" t="str">
        <f t="shared" si="4"/>
        <v>201128</v>
      </c>
      <c r="E156" s="22" t="str">
        <f t="shared" ca="1" si="5"/>
        <v>201107</v>
      </c>
      <c r="F156" s="22">
        <v>2011</v>
      </c>
    </row>
    <row r="157" spans="1:6" ht="15.75">
      <c r="A157" s="22" t="s">
        <v>1441</v>
      </c>
      <c r="B157" s="26">
        <v>40738</v>
      </c>
      <c r="C157" s="27">
        <v>0</v>
      </c>
      <c r="D157" s="25" t="str">
        <f t="shared" si="4"/>
        <v>201128</v>
      </c>
      <c r="E157" s="22" t="str">
        <f t="shared" ca="1" si="5"/>
        <v>201107</v>
      </c>
      <c r="F157" s="22">
        <v>2011</v>
      </c>
    </row>
    <row r="158" spans="1:6" ht="15.75">
      <c r="A158" s="22" t="s">
        <v>1441</v>
      </c>
      <c r="B158" s="26">
        <v>40739</v>
      </c>
      <c r="C158" s="27">
        <v>0</v>
      </c>
      <c r="D158" s="25" t="str">
        <f t="shared" si="4"/>
        <v>201128</v>
      </c>
      <c r="E158" s="22" t="str">
        <f t="shared" ca="1" si="5"/>
        <v>201107</v>
      </c>
      <c r="F158" s="22">
        <v>2011</v>
      </c>
    </row>
    <row r="159" spans="1:6" ht="15.75">
      <c r="A159" s="22" t="s">
        <v>1441</v>
      </c>
      <c r="B159" s="26">
        <v>40740</v>
      </c>
      <c r="C159" s="27">
        <v>0</v>
      </c>
      <c r="D159" s="25" t="str">
        <f t="shared" si="4"/>
        <v>201128</v>
      </c>
      <c r="E159" s="22" t="str">
        <f t="shared" ca="1" si="5"/>
        <v>201107</v>
      </c>
      <c r="F159" s="22">
        <v>2011</v>
      </c>
    </row>
    <row r="160" spans="1:6" ht="15.75">
      <c r="A160" s="22" t="s">
        <v>1441</v>
      </c>
      <c r="B160" s="26">
        <v>40741</v>
      </c>
      <c r="C160" s="27">
        <v>0</v>
      </c>
      <c r="D160" s="25" t="str">
        <f t="shared" si="4"/>
        <v>201128</v>
      </c>
      <c r="E160" s="22" t="str">
        <f t="shared" ca="1" si="5"/>
        <v>201107</v>
      </c>
      <c r="F160" s="22">
        <v>2011</v>
      </c>
    </row>
    <row r="161" spans="1:6" ht="15.75">
      <c r="A161" s="22" t="s">
        <v>1441</v>
      </c>
      <c r="B161" s="26">
        <v>40742</v>
      </c>
      <c r="C161" s="27">
        <v>0</v>
      </c>
      <c r="D161" s="25" t="str">
        <f t="shared" si="4"/>
        <v>201129</v>
      </c>
      <c r="E161" s="22" t="str">
        <f t="shared" ca="1" si="5"/>
        <v>201107</v>
      </c>
      <c r="F161" s="22">
        <v>2011</v>
      </c>
    </row>
    <row r="162" spans="1:6" ht="15.75">
      <c r="A162" s="22" t="s">
        <v>1441</v>
      </c>
      <c r="B162" s="26">
        <v>40743</v>
      </c>
      <c r="C162" s="27">
        <v>0</v>
      </c>
      <c r="D162" s="25" t="str">
        <f t="shared" si="4"/>
        <v>201129</v>
      </c>
      <c r="E162" s="22" t="str">
        <f t="shared" ca="1" si="5"/>
        <v>201107</v>
      </c>
      <c r="F162" s="22">
        <v>2011</v>
      </c>
    </row>
    <row r="163" spans="1:6" ht="15.75">
      <c r="A163" s="22" t="s">
        <v>1441</v>
      </c>
      <c r="B163" s="26">
        <v>40744</v>
      </c>
      <c r="C163" s="27">
        <v>0</v>
      </c>
      <c r="D163" s="25" t="str">
        <f t="shared" si="4"/>
        <v>201129</v>
      </c>
      <c r="E163" s="22" t="str">
        <f t="shared" ca="1" si="5"/>
        <v>201107</v>
      </c>
      <c r="F163" s="22">
        <v>2011</v>
      </c>
    </row>
    <row r="164" spans="1:6" ht="15.75">
      <c r="A164" s="22" t="s">
        <v>1441</v>
      </c>
      <c r="B164" s="26">
        <v>40745</v>
      </c>
      <c r="C164" s="27">
        <v>0</v>
      </c>
      <c r="D164" s="25" t="str">
        <f t="shared" si="4"/>
        <v>201129</v>
      </c>
      <c r="E164" s="22" t="str">
        <f t="shared" ca="1" si="5"/>
        <v>201107</v>
      </c>
      <c r="F164" s="22">
        <v>2011</v>
      </c>
    </row>
    <row r="165" spans="1:6" ht="15.75">
      <c r="A165" s="22" t="s">
        <v>1441</v>
      </c>
      <c r="B165" s="26">
        <v>40746</v>
      </c>
      <c r="C165" s="27">
        <v>0</v>
      </c>
      <c r="D165" s="25" t="str">
        <f t="shared" si="4"/>
        <v>201129</v>
      </c>
      <c r="E165" s="22" t="str">
        <f t="shared" ca="1" si="5"/>
        <v>201107</v>
      </c>
      <c r="F165" s="22">
        <v>2011</v>
      </c>
    </row>
    <row r="166" spans="1:6" ht="15.75">
      <c r="A166" s="22" t="s">
        <v>1441</v>
      </c>
      <c r="B166" s="26">
        <v>40747</v>
      </c>
      <c r="C166" s="27">
        <v>0</v>
      </c>
      <c r="D166" s="25" t="str">
        <f t="shared" si="4"/>
        <v>201129</v>
      </c>
      <c r="E166" s="22" t="str">
        <f t="shared" ca="1" si="5"/>
        <v>201107</v>
      </c>
      <c r="F166" s="22">
        <v>2011</v>
      </c>
    </row>
    <row r="167" spans="1:6" ht="15.75">
      <c r="A167" s="22" t="s">
        <v>1441</v>
      </c>
      <c r="B167" s="26">
        <v>40748</v>
      </c>
      <c r="C167" s="27">
        <v>0</v>
      </c>
      <c r="D167" s="25" t="str">
        <f t="shared" si="4"/>
        <v>201129</v>
      </c>
      <c r="E167" s="22" t="str">
        <f t="shared" ca="1" si="5"/>
        <v>201107</v>
      </c>
      <c r="F167" s="22">
        <v>2011</v>
      </c>
    </row>
    <row r="168" spans="1:6" ht="15.75">
      <c r="A168" s="22" t="s">
        <v>1441</v>
      </c>
      <c r="B168" s="26">
        <v>40749</v>
      </c>
      <c r="C168" s="27">
        <v>0</v>
      </c>
      <c r="D168" s="25" t="str">
        <f t="shared" si="4"/>
        <v>201130</v>
      </c>
      <c r="E168" s="22" t="str">
        <f t="shared" ca="1" si="5"/>
        <v>201107</v>
      </c>
      <c r="F168" s="22">
        <v>2011</v>
      </c>
    </row>
    <row r="169" spans="1:6" ht="15.75">
      <c r="A169" s="22" t="s">
        <v>1441</v>
      </c>
      <c r="B169" s="26">
        <v>40750</v>
      </c>
      <c r="C169" s="27">
        <v>0</v>
      </c>
      <c r="D169" s="25" t="str">
        <f t="shared" si="4"/>
        <v>201130</v>
      </c>
      <c r="E169" s="22" t="str">
        <f t="shared" ca="1" si="5"/>
        <v>201107</v>
      </c>
      <c r="F169" s="22">
        <v>2011</v>
      </c>
    </row>
    <row r="170" spans="1:6" ht="15.75">
      <c r="A170" s="22" t="s">
        <v>1441</v>
      </c>
      <c r="B170" s="26">
        <v>40751</v>
      </c>
      <c r="C170" s="27">
        <v>0</v>
      </c>
      <c r="D170" s="25" t="str">
        <f t="shared" si="4"/>
        <v>201130</v>
      </c>
      <c r="E170" s="22" t="str">
        <f t="shared" ca="1" si="5"/>
        <v>201107</v>
      </c>
      <c r="F170" s="22">
        <v>2011</v>
      </c>
    </row>
    <row r="171" spans="1:6" ht="15.75">
      <c r="A171" s="22" t="s">
        <v>1441</v>
      </c>
      <c r="B171" s="26">
        <v>40752</v>
      </c>
      <c r="C171" s="27">
        <v>0</v>
      </c>
      <c r="D171" s="25" t="str">
        <f t="shared" si="4"/>
        <v>201130</v>
      </c>
      <c r="E171" s="22" t="str">
        <f t="shared" ca="1" si="5"/>
        <v>201107</v>
      </c>
      <c r="F171" s="22">
        <v>2011</v>
      </c>
    </row>
    <row r="172" spans="1:6" ht="15.75">
      <c r="A172" s="22" t="s">
        <v>1441</v>
      </c>
      <c r="B172" s="26">
        <v>40753</v>
      </c>
      <c r="C172" s="27">
        <v>0</v>
      </c>
      <c r="D172" s="25" t="str">
        <f t="shared" si="4"/>
        <v>201130</v>
      </c>
      <c r="E172" s="22" t="str">
        <f t="shared" ca="1" si="5"/>
        <v>201107</v>
      </c>
      <c r="F172" s="22">
        <v>2011</v>
      </c>
    </row>
    <row r="173" spans="1:6" ht="15.75">
      <c r="A173" s="22" t="s">
        <v>1441</v>
      </c>
      <c r="B173" s="26">
        <v>40754</v>
      </c>
      <c r="C173" s="27">
        <v>0</v>
      </c>
      <c r="D173" s="25" t="str">
        <f t="shared" si="4"/>
        <v>201130</v>
      </c>
      <c r="E173" s="22" t="str">
        <f t="shared" ca="1" si="5"/>
        <v>201107</v>
      </c>
      <c r="F173" s="22">
        <v>2011</v>
      </c>
    </row>
    <row r="174" spans="1:6" ht="15.75">
      <c r="A174" s="22" t="s">
        <v>1441</v>
      </c>
      <c r="B174" s="26">
        <v>40755</v>
      </c>
      <c r="C174" s="27">
        <v>0</v>
      </c>
      <c r="D174" s="25" t="str">
        <f t="shared" si="4"/>
        <v>201130</v>
      </c>
      <c r="E174" s="22" t="str">
        <f t="shared" ca="1" si="5"/>
        <v>201107</v>
      </c>
      <c r="F174" s="22">
        <v>2011</v>
      </c>
    </row>
    <row r="175" spans="1:6" ht="15.75">
      <c r="A175" s="22" t="s">
        <v>1441</v>
      </c>
      <c r="B175" s="26">
        <v>40756</v>
      </c>
      <c r="C175" s="27">
        <v>0</v>
      </c>
      <c r="D175" s="25" t="str">
        <f t="shared" si="4"/>
        <v>201131</v>
      </c>
      <c r="E175" s="22" t="str">
        <f t="shared" ca="1" si="5"/>
        <v>201108</v>
      </c>
      <c r="F175" s="22">
        <v>2011</v>
      </c>
    </row>
    <row r="176" spans="1:6" ht="15.75">
      <c r="A176" s="22" t="s">
        <v>1441</v>
      </c>
      <c r="B176" s="26">
        <v>40757</v>
      </c>
      <c r="C176" s="27">
        <v>0</v>
      </c>
      <c r="D176" s="25" t="str">
        <f t="shared" si="4"/>
        <v>201131</v>
      </c>
      <c r="E176" s="22" t="str">
        <f t="shared" ca="1" si="5"/>
        <v>201108</v>
      </c>
      <c r="F176" s="22">
        <v>2011</v>
      </c>
    </row>
    <row r="177" spans="1:6" ht="15.75">
      <c r="A177" s="22" t="s">
        <v>1441</v>
      </c>
      <c r="B177" s="26">
        <v>40758</v>
      </c>
      <c r="C177" s="27">
        <v>0</v>
      </c>
      <c r="D177" s="25" t="str">
        <f t="shared" si="4"/>
        <v>201131</v>
      </c>
      <c r="E177" s="22" t="str">
        <f t="shared" ca="1" si="5"/>
        <v>201108</v>
      </c>
      <c r="F177" s="22">
        <v>2011</v>
      </c>
    </row>
    <row r="178" spans="1:6" ht="15.75">
      <c r="A178" s="22" t="s">
        <v>1441</v>
      </c>
      <c r="B178" s="26">
        <v>40759</v>
      </c>
      <c r="C178" s="27">
        <v>0</v>
      </c>
      <c r="D178" s="25" t="str">
        <f t="shared" si="4"/>
        <v>201131</v>
      </c>
      <c r="E178" s="22" t="str">
        <f t="shared" ca="1" si="5"/>
        <v>201108</v>
      </c>
      <c r="F178" s="22">
        <v>2011</v>
      </c>
    </row>
    <row r="179" spans="1:6" ht="15.75">
      <c r="A179" s="22" t="s">
        <v>1441</v>
      </c>
      <c r="B179" s="26">
        <v>40760</v>
      </c>
      <c r="C179" s="27">
        <v>0</v>
      </c>
      <c r="D179" s="25" t="str">
        <f t="shared" si="4"/>
        <v>201131</v>
      </c>
      <c r="E179" s="22" t="str">
        <f t="shared" ca="1" si="5"/>
        <v>201108</v>
      </c>
      <c r="F179" s="22">
        <v>2011</v>
      </c>
    </row>
    <row r="180" spans="1:6" ht="15.75">
      <c r="A180" s="22" t="s">
        <v>1441</v>
      </c>
      <c r="B180" s="26">
        <v>40761</v>
      </c>
      <c r="C180" s="27">
        <v>0</v>
      </c>
      <c r="D180" s="25" t="str">
        <f t="shared" si="4"/>
        <v>201131</v>
      </c>
      <c r="E180" s="22" t="str">
        <f t="shared" ca="1" si="5"/>
        <v>201108</v>
      </c>
      <c r="F180" s="22">
        <v>2011</v>
      </c>
    </row>
    <row r="181" spans="1:6" ht="15.75">
      <c r="A181" s="22" t="s">
        <v>1441</v>
      </c>
      <c r="B181" s="26">
        <v>40762</v>
      </c>
      <c r="C181" s="27">
        <v>0</v>
      </c>
      <c r="D181" s="25" t="str">
        <f t="shared" si="4"/>
        <v>201131</v>
      </c>
      <c r="E181" s="22" t="str">
        <f t="shared" ca="1" si="5"/>
        <v>201108</v>
      </c>
      <c r="F181" s="22">
        <v>2011</v>
      </c>
    </row>
    <row r="182" spans="1:6" ht="15.75">
      <c r="A182" s="22" t="s">
        <v>1441</v>
      </c>
      <c r="B182" s="26">
        <v>40763</v>
      </c>
      <c r="C182" s="27">
        <v>0</v>
      </c>
      <c r="D182" s="25" t="str">
        <f t="shared" si="4"/>
        <v>201132</v>
      </c>
      <c r="E182" s="22" t="str">
        <f t="shared" ca="1" si="5"/>
        <v>201108</v>
      </c>
      <c r="F182" s="22">
        <v>2011</v>
      </c>
    </row>
    <row r="183" spans="1:6" ht="15.75">
      <c r="A183" s="22" t="s">
        <v>1441</v>
      </c>
      <c r="B183" s="26">
        <v>40764</v>
      </c>
      <c r="C183" s="27">
        <v>0</v>
      </c>
      <c r="D183" s="25" t="str">
        <f t="shared" si="4"/>
        <v>201132</v>
      </c>
      <c r="E183" s="22" t="str">
        <f t="shared" ca="1" si="5"/>
        <v>201108</v>
      </c>
      <c r="F183" s="22">
        <v>2011</v>
      </c>
    </row>
    <row r="184" spans="1:6" ht="15.75">
      <c r="A184" s="22" t="s">
        <v>1441</v>
      </c>
      <c r="B184" s="26">
        <v>40765</v>
      </c>
      <c r="C184" s="27">
        <v>0</v>
      </c>
      <c r="D184" s="25" t="str">
        <f t="shared" si="4"/>
        <v>201132</v>
      </c>
      <c r="E184" s="22" t="str">
        <f t="shared" ca="1" si="5"/>
        <v>201108</v>
      </c>
      <c r="F184" s="22">
        <v>2011</v>
      </c>
    </row>
    <row r="185" spans="1:6" ht="15.75">
      <c r="A185" s="22" t="s">
        <v>1441</v>
      </c>
      <c r="B185" s="26">
        <v>40766</v>
      </c>
      <c r="C185" s="27">
        <v>0</v>
      </c>
      <c r="D185" s="25" t="str">
        <f t="shared" si="4"/>
        <v>201132</v>
      </c>
      <c r="E185" s="22" t="str">
        <f t="shared" ca="1" si="5"/>
        <v>201108</v>
      </c>
      <c r="F185" s="22">
        <v>2011</v>
      </c>
    </row>
    <row r="186" spans="1:6" ht="15.75">
      <c r="A186" s="22" t="s">
        <v>1441</v>
      </c>
      <c r="B186" s="26">
        <v>40767</v>
      </c>
      <c r="C186" s="27">
        <v>0</v>
      </c>
      <c r="D186" s="25" t="str">
        <f t="shared" si="4"/>
        <v>201132</v>
      </c>
      <c r="E186" s="22" t="str">
        <f t="shared" ca="1" si="5"/>
        <v>201108</v>
      </c>
      <c r="F186" s="22">
        <v>2011</v>
      </c>
    </row>
    <row r="187" spans="1:6" ht="15.75">
      <c r="A187" s="22" t="s">
        <v>1441</v>
      </c>
      <c r="B187" s="26">
        <v>40768</v>
      </c>
      <c r="C187" s="27">
        <v>0</v>
      </c>
      <c r="D187" s="25" t="str">
        <f t="shared" si="4"/>
        <v>201132</v>
      </c>
      <c r="E187" s="22" t="str">
        <f t="shared" ca="1" si="5"/>
        <v>201108</v>
      </c>
      <c r="F187" s="22">
        <v>2011</v>
      </c>
    </row>
    <row r="188" spans="1:6" ht="15.75">
      <c r="A188" s="22" t="s">
        <v>1441</v>
      </c>
      <c r="B188" s="26">
        <v>40769</v>
      </c>
      <c r="C188" s="27">
        <v>0</v>
      </c>
      <c r="D188" s="25" t="str">
        <f t="shared" si="4"/>
        <v>201132</v>
      </c>
      <c r="E188" s="22" t="str">
        <f t="shared" ca="1" si="5"/>
        <v>201108</v>
      </c>
      <c r="F188" s="22">
        <v>2011</v>
      </c>
    </row>
    <row r="189" spans="1:6" ht="15.75">
      <c r="A189" s="22" t="s">
        <v>1441</v>
      </c>
      <c r="B189" s="26">
        <v>40770</v>
      </c>
      <c r="C189" s="27">
        <v>0</v>
      </c>
      <c r="D189" s="25" t="str">
        <f t="shared" si="4"/>
        <v>201133</v>
      </c>
      <c r="E189" s="22" t="str">
        <f t="shared" ca="1" si="5"/>
        <v>201108</v>
      </c>
      <c r="F189" s="22">
        <v>2011</v>
      </c>
    </row>
    <row r="190" spans="1:6" ht="15.75">
      <c r="A190" s="22" t="s">
        <v>1441</v>
      </c>
      <c r="B190" s="26">
        <v>40771</v>
      </c>
      <c r="C190" s="27">
        <v>0</v>
      </c>
      <c r="D190" s="25" t="str">
        <f t="shared" si="4"/>
        <v>201133</v>
      </c>
      <c r="E190" s="22" t="str">
        <f t="shared" ca="1" si="5"/>
        <v>201108</v>
      </c>
      <c r="F190" s="22">
        <v>2011</v>
      </c>
    </row>
    <row r="191" spans="1:6" ht="15.75">
      <c r="A191" s="22" t="s">
        <v>1441</v>
      </c>
      <c r="B191" s="26">
        <v>40772</v>
      </c>
      <c r="C191" s="27">
        <v>0</v>
      </c>
      <c r="D191" s="25" t="str">
        <f t="shared" si="4"/>
        <v>201133</v>
      </c>
      <c r="E191" s="22" t="str">
        <f t="shared" ca="1" si="5"/>
        <v>201108</v>
      </c>
      <c r="F191" s="22">
        <v>2011</v>
      </c>
    </row>
    <row r="192" spans="1:6" ht="15.75">
      <c r="A192" s="22" t="s">
        <v>1441</v>
      </c>
      <c r="B192" s="26">
        <v>40773</v>
      </c>
      <c r="C192" s="27">
        <v>0</v>
      </c>
      <c r="D192" s="25" t="str">
        <f t="shared" si="4"/>
        <v>201133</v>
      </c>
      <c r="E192" s="22" t="str">
        <f t="shared" ca="1" si="5"/>
        <v>201108</v>
      </c>
      <c r="F192" s="22">
        <v>2011</v>
      </c>
    </row>
    <row r="193" spans="1:6" ht="15.75">
      <c r="A193" s="22" t="s">
        <v>1441</v>
      </c>
      <c r="B193" s="26">
        <v>40774</v>
      </c>
      <c r="C193" s="27">
        <v>0</v>
      </c>
      <c r="D193" s="25" t="str">
        <f t="shared" si="4"/>
        <v>201133</v>
      </c>
      <c r="E193" s="22" t="str">
        <f t="shared" ca="1" si="5"/>
        <v>201108</v>
      </c>
      <c r="F193" s="22">
        <v>2011</v>
      </c>
    </row>
    <row r="194" spans="1:6" ht="15.75">
      <c r="A194" s="22" t="s">
        <v>1441</v>
      </c>
      <c r="B194" s="26">
        <v>40775</v>
      </c>
      <c r="C194" s="27">
        <v>0</v>
      </c>
      <c r="D194" s="25" t="str">
        <f t="shared" si="4"/>
        <v>201133</v>
      </c>
      <c r="E194" s="22" t="str">
        <f t="shared" ca="1" si="5"/>
        <v>201108</v>
      </c>
      <c r="F194" s="22">
        <v>2011</v>
      </c>
    </row>
    <row r="195" spans="1:6" ht="15.75">
      <c r="A195" s="22" t="s">
        <v>1441</v>
      </c>
      <c r="B195" s="26">
        <v>40776</v>
      </c>
      <c r="C195" s="27">
        <v>0</v>
      </c>
      <c r="D195" s="25" t="str">
        <f t="shared" ref="D195:D258" si="6">CONCATENATE(YEAR(B195-WEEKDAY(B195,3)+3),TEXT(WEEKNUM(B195,21),"00"))</f>
        <v>201133</v>
      </c>
      <c r="E195" s="22" t="str">
        <f t="shared" ref="E195:E258" ca="1" si="7">IF(
  AND(
    YEAR(B195)=YEAR(TODAY())-1,
    MONTH(B195)=MONTH(TODAY()),
    DAY(B195)&gt;DAY($H$2)
  ),
  0,
  CONCATENATE(YEAR(B195),TEXT(MONTH(B195),"00"))
)</f>
        <v>201108</v>
      </c>
      <c r="F195" s="22">
        <v>2011</v>
      </c>
    </row>
    <row r="196" spans="1:6" ht="15.75">
      <c r="A196" s="22" t="s">
        <v>1441</v>
      </c>
      <c r="B196" s="26">
        <v>40777</v>
      </c>
      <c r="C196" s="27">
        <v>0</v>
      </c>
      <c r="D196" s="25" t="str">
        <f t="shared" si="6"/>
        <v>201134</v>
      </c>
      <c r="E196" s="22" t="str">
        <f t="shared" ca="1" si="7"/>
        <v>201108</v>
      </c>
      <c r="F196" s="22">
        <v>2011</v>
      </c>
    </row>
    <row r="197" spans="1:6" ht="15.75">
      <c r="A197" s="22" t="s">
        <v>1441</v>
      </c>
      <c r="B197" s="26">
        <v>40778</v>
      </c>
      <c r="C197" s="27">
        <v>0</v>
      </c>
      <c r="D197" s="25" t="str">
        <f t="shared" si="6"/>
        <v>201134</v>
      </c>
      <c r="E197" s="22" t="str">
        <f t="shared" ca="1" si="7"/>
        <v>201108</v>
      </c>
      <c r="F197" s="22">
        <v>2011</v>
      </c>
    </row>
    <row r="198" spans="1:6" ht="15.75">
      <c r="A198" s="22" t="s">
        <v>1441</v>
      </c>
      <c r="B198" s="26">
        <v>40779</v>
      </c>
      <c r="C198" s="27">
        <v>0</v>
      </c>
      <c r="D198" s="25" t="str">
        <f t="shared" si="6"/>
        <v>201134</v>
      </c>
      <c r="E198" s="22" t="str">
        <f t="shared" ca="1" si="7"/>
        <v>201108</v>
      </c>
      <c r="F198" s="22">
        <v>2011</v>
      </c>
    </row>
    <row r="199" spans="1:6" ht="15.75">
      <c r="A199" s="22" t="s">
        <v>1441</v>
      </c>
      <c r="B199" s="26">
        <v>40780</v>
      </c>
      <c r="C199" s="27">
        <v>0</v>
      </c>
      <c r="D199" s="25" t="str">
        <f t="shared" si="6"/>
        <v>201134</v>
      </c>
      <c r="E199" s="22" t="str">
        <f t="shared" ca="1" si="7"/>
        <v>201108</v>
      </c>
      <c r="F199" s="22">
        <v>2011</v>
      </c>
    </row>
    <row r="200" spans="1:6" ht="15.75">
      <c r="A200" s="22" t="s">
        <v>1441</v>
      </c>
      <c r="B200" s="26">
        <v>40781</v>
      </c>
      <c r="C200" s="27">
        <v>0</v>
      </c>
      <c r="D200" s="25" t="str">
        <f t="shared" si="6"/>
        <v>201134</v>
      </c>
      <c r="E200" s="22" t="str">
        <f t="shared" ca="1" si="7"/>
        <v>201108</v>
      </c>
      <c r="F200" s="22">
        <v>2011</v>
      </c>
    </row>
    <row r="201" spans="1:6" ht="15.75">
      <c r="A201" s="22" t="s">
        <v>1441</v>
      </c>
      <c r="B201" s="26">
        <v>40782</v>
      </c>
      <c r="C201" s="27">
        <v>0</v>
      </c>
      <c r="D201" s="25" t="str">
        <f t="shared" si="6"/>
        <v>201134</v>
      </c>
      <c r="E201" s="22" t="str">
        <f t="shared" ca="1" si="7"/>
        <v>201108</v>
      </c>
      <c r="F201" s="22">
        <v>2011</v>
      </c>
    </row>
    <row r="202" spans="1:6" ht="15.75">
      <c r="A202" s="22" t="s">
        <v>1441</v>
      </c>
      <c r="B202" s="26">
        <v>40783</v>
      </c>
      <c r="C202" s="27">
        <v>0</v>
      </c>
      <c r="D202" s="25" t="str">
        <f t="shared" si="6"/>
        <v>201134</v>
      </c>
      <c r="E202" s="22" t="str">
        <f t="shared" ca="1" si="7"/>
        <v>201108</v>
      </c>
      <c r="F202" s="22">
        <v>2011</v>
      </c>
    </row>
    <row r="203" spans="1:6" ht="15.75">
      <c r="A203" s="22" t="s">
        <v>1441</v>
      </c>
      <c r="B203" s="26">
        <v>40784</v>
      </c>
      <c r="C203" s="27">
        <v>0</v>
      </c>
      <c r="D203" s="25" t="str">
        <f t="shared" si="6"/>
        <v>201135</v>
      </c>
      <c r="E203" s="22" t="str">
        <f t="shared" ca="1" si="7"/>
        <v>201108</v>
      </c>
      <c r="F203" s="22">
        <v>2011</v>
      </c>
    </row>
    <row r="204" spans="1:6" ht="15.75">
      <c r="A204" s="22" t="s">
        <v>1441</v>
      </c>
      <c r="B204" s="26">
        <v>40785</v>
      </c>
      <c r="C204" s="27">
        <v>0</v>
      </c>
      <c r="D204" s="25" t="str">
        <f t="shared" si="6"/>
        <v>201135</v>
      </c>
      <c r="E204" s="22" t="str">
        <f t="shared" ca="1" si="7"/>
        <v>201108</v>
      </c>
      <c r="F204" s="22">
        <v>2011</v>
      </c>
    </row>
    <row r="205" spans="1:6" ht="15.75">
      <c r="A205" s="22" t="s">
        <v>1441</v>
      </c>
      <c r="B205" s="26">
        <v>40786</v>
      </c>
      <c r="C205" s="27">
        <v>0</v>
      </c>
      <c r="D205" s="25" t="str">
        <f t="shared" si="6"/>
        <v>201135</v>
      </c>
      <c r="E205" s="22" t="str">
        <f t="shared" ca="1" si="7"/>
        <v>201108</v>
      </c>
      <c r="F205" s="22">
        <v>2011</v>
      </c>
    </row>
    <row r="206" spans="1:6" ht="15.75">
      <c r="A206" s="22" t="s">
        <v>1441</v>
      </c>
      <c r="B206" s="26">
        <v>40787</v>
      </c>
      <c r="C206" s="27">
        <v>0</v>
      </c>
      <c r="D206" s="25" t="str">
        <f t="shared" si="6"/>
        <v>201135</v>
      </c>
      <c r="E206" s="22" t="str">
        <f t="shared" ca="1" si="7"/>
        <v>201109</v>
      </c>
      <c r="F206" s="22">
        <v>2011</v>
      </c>
    </row>
    <row r="207" spans="1:6" ht="15.75">
      <c r="A207" s="22" t="s">
        <v>1441</v>
      </c>
      <c r="B207" s="26">
        <v>40788</v>
      </c>
      <c r="C207" s="27">
        <v>0</v>
      </c>
      <c r="D207" s="25" t="str">
        <f t="shared" si="6"/>
        <v>201135</v>
      </c>
      <c r="E207" s="22" t="str">
        <f t="shared" ca="1" si="7"/>
        <v>201109</v>
      </c>
      <c r="F207" s="22">
        <v>2011</v>
      </c>
    </row>
    <row r="208" spans="1:6" ht="15.75">
      <c r="A208" s="22" t="s">
        <v>1441</v>
      </c>
      <c r="B208" s="26">
        <v>40789</v>
      </c>
      <c r="C208" s="27">
        <v>0</v>
      </c>
      <c r="D208" s="25" t="str">
        <f t="shared" si="6"/>
        <v>201135</v>
      </c>
      <c r="E208" s="22" t="str">
        <f t="shared" ca="1" si="7"/>
        <v>201109</v>
      </c>
      <c r="F208" s="22">
        <v>2011</v>
      </c>
    </row>
    <row r="209" spans="1:6" ht="15.75">
      <c r="A209" s="22" t="s">
        <v>1441</v>
      </c>
      <c r="B209" s="26">
        <v>40790</v>
      </c>
      <c r="C209" s="27">
        <v>0</v>
      </c>
      <c r="D209" s="25" t="str">
        <f t="shared" si="6"/>
        <v>201135</v>
      </c>
      <c r="E209" s="22" t="str">
        <f t="shared" ca="1" si="7"/>
        <v>201109</v>
      </c>
      <c r="F209" s="22">
        <v>2011</v>
      </c>
    </row>
    <row r="210" spans="1:6" ht="15.75">
      <c r="A210" s="22" t="s">
        <v>1441</v>
      </c>
      <c r="B210" s="26">
        <v>40791</v>
      </c>
      <c r="C210" s="27">
        <v>0</v>
      </c>
      <c r="D210" s="25" t="str">
        <f t="shared" si="6"/>
        <v>201136</v>
      </c>
      <c r="E210" s="22" t="str">
        <f t="shared" ca="1" si="7"/>
        <v>201109</v>
      </c>
      <c r="F210" s="22">
        <v>2011</v>
      </c>
    </row>
    <row r="211" spans="1:6" ht="15.75">
      <c r="A211" s="22" t="s">
        <v>1441</v>
      </c>
      <c r="B211" s="26">
        <v>40792</v>
      </c>
      <c r="C211" s="27">
        <v>0</v>
      </c>
      <c r="D211" s="25" t="str">
        <f t="shared" si="6"/>
        <v>201136</v>
      </c>
      <c r="E211" s="22" t="str">
        <f t="shared" ca="1" si="7"/>
        <v>201109</v>
      </c>
      <c r="F211" s="22">
        <v>2011</v>
      </c>
    </row>
    <row r="212" spans="1:6" ht="15.75">
      <c r="A212" s="22" t="s">
        <v>1441</v>
      </c>
      <c r="B212" s="26">
        <v>40793</v>
      </c>
      <c r="C212" s="27">
        <v>0</v>
      </c>
      <c r="D212" s="25" t="str">
        <f t="shared" si="6"/>
        <v>201136</v>
      </c>
      <c r="E212" s="22" t="str">
        <f t="shared" ca="1" si="7"/>
        <v>201109</v>
      </c>
      <c r="F212" s="22">
        <v>2011</v>
      </c>
    </row>
    <row r="213" spans="1:6" ht="15.75">
      <c r="A213" s="22" t="s">
        <v>1441</v>
      </c>
      <c r="B213" s="26">
        <v>40794</v>
      </c>
      <c r="C213" s="27">
        <v>0</v>
      </c>
      <c r="D213" s="25" t="str">
        <f t="shared" si="6"/>
        <v>201136</v>
      </c>
      <c r="E213" s="22" t="str">
        <f t="shared" ca="1" si="7"/>
        <v>201109</v>
      </c>
      <c r="F213" s="22">
        <v>2011</v>
      </c>
    </row>
    <row r="214" spans="1:6" ht="15.75">
      <c r="A214" s="22" t="s">
        <v>1441</v>
      </c>
      <c r="B214" s="26">
        <v>40795</v>
      </c>
      <c r="C214" s="27">
        <v>0</v>
      </c>
      <c r="D214" s="25" t="str">
        <f t="shared" si="6"/>
        <v>201136</v>
      </c>
      <c r="E214" s="22" t="str">
        <f t="shared" ca="1" si="7"/>
        <v>201109</v>
      </c>
      <c r="F214" s="22">
        <v>2011</v>
      </c>
    </row>
    <row r="215" spans="1:6" ht="15.75">
      <c r="A215" s="22" t="s">
        <v>1441</v>
      </c>
      <c r="B215" s="26">
        <v>40796</v>
      </c>
      <c r="C215" s="27">
        <v>0</v>
      </c>
      <c r="D215" s="25" t="str">
        <f t="shared" si="6"/>
        <v>201136</v>
      </c>
      <c r="E215" s="22" t="str">
        <f t="shared" ca="1" si="7"/>
        <v>201109</v>
      </c>
      <c r="F215" s="22">
        <v>2011</v>
      </c>
    </row>
    <row r="216" spans="1:6" ht="15.75">
      <c r="A216" s="22" t="s">
        <v>1441</v>
      </c>
      <c r="B216" s="26">
        <v>40797</v>
      </c>
      <c r="C216" s="27">
        <v>0</v>
      </c>
      <c r="D216" s="25" t="str">
        <f t="shared" si="6"/>
        <v>201136</v>
      </c>
      <c r="E216" s="22" t="str">
        <f t="shared" ca="1" si="7"/>
        <v>201109</v>
      </c>
      <c r="F216" s="22">
        <v>2011</v>
      </c>
    </row>
    <row r="217" spans="1:6" ht="15.75">
      <c r="A217" s="22" t="s">
        <v>1441</v>
      </c>
      <c r="B217" s="26">
        <v>40798</v>
      </c>
      <c r="C217" s="27">
        <v>0</v>
      </c>
      <c r="D217" s="25" t="str">
        <f t="shared" si="6"/>
        <v>201137</v>
      </c>
      <c r="E217" s="22" t="str">
        <f t="shared" ca="1" si="7"/>
        <v>201109</v>
      </c>
      <c r="F217" s="22">
        <v>2011</v>
      </c>
    </row>
    <row r="218" spans="1:6" ht="15.75">
      <c r="A218" s="22" t="s">
        <v>1441</v>
      </c>
      <c r="B218" s="26">
        <v>40799</v>
      </c>
      <c r="C218" s="27">
        <v>0</v>
      </c>
      <c r="D218" s="25" t="str">
        <f t="shared" si="6"/>
        <v>201137</v>
      </c>
      <c r="E218" s="22" t="str">
        <f t="shared" ca="1" si="7"/>
        <v>201109</v>
      </c>
      <c r="F218" s="22">
        <v>2011</v>
      </c>
    </row>
    <row r="219" spans="1:6" ht="15.75">
      <c r="A219" s="22" t="s">
        <v>1441</v>
      </c>
      <c r="B219" s="26">
        <v>40800</v>
      </c>
      <c r="C219" s="27">
        <v>0</v>
      </c>
      <c r="D219" s="25" t="str">
        <f t="shared" si="6"/>
        <v>201137</v>
      </c>
      <c r="E219" s="22" t="str">
        <f t="shared" ca="1" si="7"/>
        <v>201109</v>
      </c>
      <c r="F219" s="22">
        <v>2011</v>
      </c>
    </row>
    <row r="220" spans="1:6" ht="15.75">
      <c r="A220" s="22" t="s">
        <v>1441</v>
      </c>
      <c r="B220" s="26">
        <v>40801</v>
      </c>
      <c r="C220" s="27">
        <v>0</v>
      </c>
      <c r="D220" s="25" t="str">
        <f t="shared" si="6"/>
        <v>201137</v>
      </c>
      <c r="E220" s="22" t="str">
        <f t="shared" ca="1" si="7"/>
        <v>201109</v>
      </c>
      <c r="F220" s="22">
        <v>2011</v>
      </c>
    </row>
    <row r="221" spans="1:6" ht="15.75">
      <c r="A221" s="22" t="s">
        <v>1441</v>
      </c>
      <c r="B221" s="26">
        <v>40802</v>
      </c>
      <c r="C221" s="27">
        <v>0</v>
      </c>
      <c r="D221" s="25" t="str">
        <f t="shared" si="6"/>
        <v>201137</v>
      </c>
      <c r="E221" s="22" t="str">
        <f t="shared" ca="1" si="7"/>
        <v>201109</v>
      </c>
      <c r="F221" s="22">
        <v>2011</v>
      </c>
    </row>
    <row r="222" spans="1:6" ht="15.75">
      <c r="A222" s="22" t="s">
        <v>1441</v>
      </c>
      <c r="B222" s="26">
        <v>40803</v>
      </c>
      <c r="C222" s="27">
        <v>0</v>
      </c>
      <c r="D222" s="25" t="str">
        <f t="shared" si="6"/>
        <v>201137</v>
      </c>
      <c r="E222" s="22" t="str">
        <f t="shared" ca="1" si="7"/>
        <v>201109</v>
      </c>
      <c r="F222" s="22">
        <v>2011</v>
      </c>
    </row>
    <row r="223" spans="1:6" ht="15.75">
      <c r="A223" s="22" t="s">
        <v>1441</v>
      </c>
      <c r="B223" s="26">
        <v>40804</v>
      </c>
      <c r="C223" s="27">
        <v>0</v>
      </c>
      <c r="D223" s="25" t="str">
        <f t="shared" si="6"/>
        <v>201137</v>
      </c>
      <c r="E223" s="22" t="str">
        <f t="shared" ca="1" si="7"/>
        <v>201109</v>
      </c>
      <c r="F223" s="22">
        <v>2011</v>
      </c>
    </row>
    <row r="224" spans="1:6" ht="15.75">
      <c r="A224" s="22" t="s">
        <v>1441</v>
      </c>
      <c r="B224" s="26">
        <v>40805</v>
      </c>
      <c r="C224" s="27">
        <v>0</v>
      </c>
      <c r="D224" s="25" t="str">
        <f t="shared" si="6"/>
        <v>201138</v>
      </c>
      <c r="E224" s="22" t="str">
        <f t="shared" ca="1" si="7"/>
        <v>201109</v>
      </c>
      <c r="F224" s="22">
        <v>2011</v>
      </c>
    </row>
    <row r="225" spans="1:6" ht="15.75">
      <c r="A225" s="22" t="s">
        <v>1441</v>
      </c>
      <c r="B225" s="26">
        <v>40806</v>
      </c>
      <c r="C225" s="27">
        <v>0</v>
      </c>
      <c r="D225" s="25" t="str">
        <f t="shared" si="6"/>
        <v>201138</v>
      </c>
      <c r="E225" s="22" t="str">
        <f t="shared" ca="1" si="7"/>
        <v>201109</v>
      </c>
      <c r="F225" s="22">
        <v>2011</v>
      </c>
    </row>
    <row r="226" spans="1:6" ht="15.75">
      <c r="A226" s="22" t="s">
        <v>1441</v>
      </c>
      <c r="B226" s="26">
        <v>40807</v>
      </c>
      <c r="C226" s="27">
        <v>0</v>
      </c>
      <c r="D226" s="25" t="str">
        <f t="shared" si="6"/>
        <v>201138</v>
      </c>
      <c r="E226" s="22" t="str">
        <f t="shared" ca="1" si="7"/>
        <v>201109</v>
      </c>
      <c r="F226" s="22">
        <v>2011</v>
      </c>
    </row>
    <row r="227" spans="1:6" ht="15.75">
      <c r="A227" s="22" t="s">
        <v>1441</v>
      </c>
      <c r="B227" s="26">
        <v>40808</v>
      </c>
      <c r="C227" s="27">
        <v>0</v>
      </c>
      <c r="D227" s="25" t="str">
        <f t="shared" si="6"/>
        <v>201138</v>
      </c>
      <c r="E227" s="22" t="str">
        <f t="shared" ca="1" si="7"/>
        <v>201109</v>
      </c>
      <c r="F227" s="22">
        <v>2011</v>
      </c>
    </row>
    <row r="228" spans="1:6" ht="15.75">
      <c r="A228" s="22" t="s">
        <v>1441</v>
      </c>
      <c r="B228" s="26">
        <v>40809</v>
      </c>
      <c r="C228" s="27">
        <v>0</v>
      </c>
      <c r="D228" s="25" t="str">
        <f t="shared" si="6"/>
        <v>201138</v>
      </c>
      <c r="E228" s="22" t="str">
        <f t="shared" ca="1" si="7"/>
        <v>201109</v>
      </c>
      <c r="F228" s="22">
        <v>2011</v>
      </c>
    </row>
    <row r="229" spans="1:6" ht="15.75">
      <c r="A229" s="22" t="s">
        <v>1441</v>
      </c>
      <c r="B229" s="26">
        <v>40810</v>
      </c>
      <c r="C229" s="27">
        <v>0</v>
      </c>
      <c r="D229" s="25" t="str">
        <f t="shared" si="6"/>
        <v>201138</v>
      </c>
      <c r="E229" s="22" t="str">
        <f t="shared" ca="1" si="7"/>
        <v>201109</v>
      </c>
      <c r="F229" s="22">
        <v>2011</v>
      </c>
    </row>
    <row r="230" spans="1:6" ht="15.75">
      <c r="A230" s="22" t="s">
        <v>1441</v>
      </c>
      <c r="B230" s="26">
        <v>40811</v>
      </c>
      <c r="C230" s="27">
        <v>0</v>
      </c>
      <c r="D230" s="25" t="str">
        <f t="shared" si="6"/>
        <v>201138</v>
      </c>
      <c r="E230" s="22" t="str">
        <f t="shared" ca="1" si="7"/>
        <v>201109</v>
      </c>
      <c r="F230" s="22">
        <v>2011</v>
      </c>
    </row>
    <row r="231" spans="1:6" ht="15.75">
      <c r="A231" s="22" t="s">
        <v>1441</v>
      </c>
      <c r="B231" s="26">
        <v>40812</v>
      </c>
      <c r="C231" s="27">
        <v>0</v>
      </c>
      <c r="D231" s="25" t="str">
        <f t="shared" si="6"/>
        <v>201139</v>
      </c>
      <c r="E231" s="22" t="str">
        <f t="shared" ca="1" si="7"/>
        <v>201109</v>
      </c>
      <c r="F231" s="22">
        <v>2011</v>
      </c>
    </row>
    <row r="232" spans="1:6" ht="15.75">
      <c r="A232" s="22" t="s">
        <v>1441</v>
      </c>
      <c r="B232" s="26">
        <v>40813</v>
      </c>
      <c r="C232" s="27">
        <v>0</v>
      </c>
      <c r="D232" s="25" t="str">
        <f t="shared" si="6"/>
        <v>201139</v>
      </c>
      <c r="E232" s="22" t="str">
        <f t="shared" ca="1" si="7"/>
        <v>201109</v>
      </c>
      <c r="F232" s="22">
        <v>2011</v>
      </c>
    </row>
    <row r="233" spans="1:6" ht="15.75">
      <c r="A233" s="22" t="s">
        <v>1441</v>
      </c>
      <c r="B233" s="26">
        <v>40814</v>
      </c>
      <c r="C233" s="27">
        <v>0</v>
      </c>
      <c r="D233" s="25" t="str">
        <f t="shared" si="6"/>
        <v>201139</v>
      </c>
      <c r="E233" s="22" t="str">
        <f t="shared" ca="1" si="7"/>
        <v>201109</v>
      </c>
      <c r="F233" s="22">
        <v>2011</v>
      </c>
    </row>
    <row r="234" spans="1:6" ht="15.75">
      <c r="A234" s="22" t="s">
        <v>1441</v>
      </c>
      <c r="B234" s="26">
        <v>40815</v>
      </c>
      <c r="C234" s="27">
        <v>0</v>
      </c>
      <c r="D234" s="25" t="str">
        <f t="shared" si="6"/>
        <v>201139</v>
      </c>
      <c r="E234" s="22" t="str">
        <f t="shared" ca="1" si="7"/>
        <v>201109</v>
      </c>
      <c r="F234" s="22">
        <v>2011</v>
      </c>
    </row>
    <row r="235" spans="1:6" ht="15.75">
      <c r="A235" s="22" t="s">
        <v>1441</v>
      </c>
      <c r="B235" s="26">
        <v>40816</v>
      </c>
      <c r="C235" s="27">
        <v>0</v>
      </c>
      <c r="D235" s="25" t="str">
        <f t="shared" si="6"/>
        <v>201139</v>
      </c>
      <c r="E235" s="22" t="str">
        <f t="shared" ca="1" si="7"/>
        <v>201109</v>
      </c>
      <c r="F235" s="22">
        <v>2011</v>
      </c>
    </row>
    <row r="236" spans="1:6" ht="15.75">
      <c r="A236" s="22" t="s">
        <v>1441</v>
      </c>
      <c r="B236" s="26">
        <v>40817</v>
      </c>
      <c r="C236" s="27">
        <v>0</v>
      </c>
      <c r="D236" s="25" t="str">
        <f t="shared" si="6"/>
        <v>201139</v>
      </c>
      <c r="E236" s="22" t="str">
        <f t="shared" ca="1" si="7"/>
        <v>201110</v>
      </c>
      <c r="F236" s="22">
        <v>2011</v>
      </c>
    </row>
    <row r="237" spans="1:6" ht="15.75">
      <c r="A237" s="22" t="s">
        <v>1441</v>
      </c>
      <c r="B237" s="26">
        <v>40818</v>
      </c>
      <c r="C237" s="27">
        <v>0</v>
      </c>
      <c r="D237" s="25" t="str">
        <f t="shared" si="6"/>
        <v>201139</v>
      </c>
      <c r="E237" s="22" t="str">
        <f t="shared" ca="1" si="7"/>
        <v>201110</v>
      </c>
      <c r="F237" s="22">
        <v>2011</v>
      </c>
    </row>
    <row r="238" spans="1:6" ht="15.75">
      <c r="A238" s="22" t="s">
        <v>1441</v>
      </c>
      <c r="B238" s="26">
        <v>40819</v>
      </c>
      <c r="C238" s="27">
        <v>0</v>
      </c>
      <c r="D238" s="25" t="str">
        <f t="shared" si="6"/>
        <v>201140</v>
      </c>
      <c r="E238" s="22" t="str">
        <f t="shared" ca="1" si="7"/>
        <v>201110</v>
      </c>
      <c r="F238" s="22">
        <v>2011</v>
      </c>
    </row>
    <row r="239" spans="1:6" ht="15.75">
      <c r="A239" s="22" t="s">
        <v>1441</v>
      </c>
      <c r="B239" s="26">
        <v>40820</v>
      </c>
      <c r="C239" s="27">
        <v>0</v>
      </c>
      <c r="D239" s="25" t="str">
        <f t="shared" si="6"/>
        <v>201140</v>
      </c>
      <c r="E239" s="22" t="str">
        <f t="shared" ca="1" si="7"/>
        <v>201110</v>
      </c>
      <c r="F239" s="22">
        <v>2011</v>
      </c>
    </row>
    <row r="240" spans="1:6" ht="15.75">
      <c r="A240" s="22" t="s">
        <v>1441</v>
      </c>
      <c r="B240" s="26">
        <v>40821</v>
      </c>
      <c r="C240" s="27">
        <v>0</v>
      </c>
      <c r="D240" s="25" t="str">
        <f t="shared" si="6"/>
        <v>201140</v>
      </c>
      <c r="E240" s="22" t="str">
        <f t="shared" ca="1" si="7"/>
        <v>201110</v>
      </c>
      <c r="F240" s="22">
        <v>2011</v>
      </c>
    </row>
    <row r="241" spans="1:6" ht="15.75">
      <c r="A241" s="22" t="s">
        <v>1441</v>
      </c>
      <c r="B241" s="26">
        <v>40822</v>
      </c>
      <c r="C241" s="27">
        <v>0</v>
      </c>
      <c r="D241" s="25" t="str">
        <f t="shared" si="6"/>
        <v>201140</v>
      </c>
      <c r="E241" s="22" t="str">
        <f t="shared" ca="1" si="7"/>
        <v>201110</v>
      </c>
      <c r="F241" s="22">
        <v>2011</v>
      </c>
    </row>
    <row r="242" spans="1:6" ht="15.75">
      <c r="A242" s="22" t="s">
        <v>1441</v>
      </c>
      <c r="B242" s="26">
        <v>40823</v>
      </c>
      <c r="C242" s="27">
        <v>0</v>
      </c>
      <c r="D242" s="25" t="str">
        <f t="shared" si="6"/>
        <v>201140</v>
      </c>
      <c r="E242" s="22" t="str">
        <f t="shared" ca="1" si="7"/>
        <v>201110</v>
      </c>
      <c r="F242" s="22">
        <v>2011</v>
      </c>
    </row>
    <row r="243" spans="1:6" ht="15.75">
      <c r="A243" s="22" t="s">
        <v>1441</v>
      </c>
      <c r="B243" s="26">
        <v>40824</v>
      </c>
      <c r="C243" s="27">
        <v>0</v>
      </c>
      <c r="D243" s="25" t="str">
        <f t="shared" si="6"/>
        <v>201140</v>
      </c>
      <c r="E243" s="22" t="str">
        <f t="shared" ca="1" si="7"/>
        <v>201110</v>
      </c>
      <c r="F243" s="22">
        <v>2011</v>
      </c>
    </row>
    <row r="244" spans="1:6" ht="15.75">
      <c r="A244" s="22" t="s">
        <v>1441</v>
      </c>
      <c r="B244" s="26">
        <v>40825</v>
      </c>
      <c r="C244" s="27">
        <v>0</v>
      </c>
      <c r="D244" s="25" t="str">
        <f t="shared" si="6"/>
        <v>201140</v>
      </c>
      <c r="E244" s="22" t="str">
        <f t="shared" ca="1" si="7"/>
        <v>201110</v>
      </c>
      <c r="F244" s="22">
        <v>2011</v>
      </c>
    </row>
    <row r="245" spans="1:6" ht="15.75">
      <c r="A245" s="22" t="s">
        <v>1441</v>
      </c>
      <c r="B245" s="26">
        <v>40826</v>
      </c>
      <c r="C245" s="27">
        <v>0</v>
      </c>
      <c r="D245" s="25" t="str">
        <f t="shared" si="6"/>
        <v>201141</v>
      </c>
      <c r="E245" s="22" t="str">
        <f t="shared" ca="1" si="7"/>
        <v>201110</v>
      </c>
      <c r="F245" s="22">
        <v>2011</v>
      </c>
    </row>
    <row r="246" spans="1:6" ht="15.75">
      <c r="A246" s="22" t="s">
        <v>1441</v>
      </c>
      <c r="B246" s="26">
        <v>40827</v>
      </c>
      <c r="C246" s="27">
        <v>0</v>
      </c>
      <c r="D246" s="25" t="str">
        <f t="shared" si="6"/>
        <v>201141</v>
      </c>
      <c r="E246" s="22" t="str">
        <f t="shared" ca="1" si="7"/>
        <v>201110</v>
      </c>
      <c r="F246" s="22">
        <v>2011</v>
      </c>
    </row>
    <row r="247" spans="1:6" ht="15.75">
      <c r="A247" s="22" t="s">
        <v>1441</v>
      </c>
      <c r="B247" s="26">
        <v>40828</v>
      </c>
      <c r="C247" s="27">
        <v>0</v>
      </c>
      <c r="D247" s="25" t="str">
        <f t="shared" si="6"/>
        <v>201141</v>
      </c>
      <c r="E247" s="22" t="str">
        <f t="shared" ca="1" si="7"/>
        <v>201110</v>
      </c>
      <c r="F247" s="22">
        <v>2011</v>
      </c>
    </row>
    <row r="248" spans="1:6" ht="15.75">
      <c r="A248" s="22" t="s">
        <v>1441</v>
      </c>
      <c r="B248" s="26">
        <v>40829</v>
      </c>
      <c r="C248" s="27">
        <v>0</v>
      </c>
      <c r="D248" s="25" t="str">
        <f t="shared" si="6"/>
        <v>201141</v>
      </c>
      <c r="E248" s="22" t="str">
        <f t="shared" ca="1" si="7"/>
        <v>201110</v>
      </c>
      <c r="F248" s="22">
        <v>2011</v>
      </c>
    </row>
    <row r="249" spans="1:6" ht="15.75">
      <c r="A249" s="22" t="s">
        <v>1441</v>
      </c>
      <c r="B249" s="26">
        <v>40830</v>
      </c>
      <c r="C249" s="27">
        <v>0</v>
      </c>
      <c r="D249" s="25" t="str">
        <f t="shared" si="6"/>
        <v>201141</v>
      </c>
      <c r="E249" s="22" t="str">
        <f t="shared" ca="1" si="7"/>
        <v>201110</v>
      </c>
      <c r="F249" s="22">
        <v>2011</v>
      </c>
    </row>
    <row r="250" spans="1:6" ht="15.75">
      <c r="A250" s="22" t="s">
        <v>1441</v>
      </c>
      <c r="B250" s="26">
        <v>40831</v>
      </c>
      <c r="C250" s="27">
        <v>0</v>
      </c>
      <c r="D250" s="25" t="str">
        <f t="shared" si="6"/>
        <v>201141</v>
      </c>
      <c r="E250" s="22" t="str">
        <f t="shared" ca="1" si="7"/>
        <v>201110</v>
      </c>
      <c r="F250" s="22">
        <v>2011</v>
      </c>
    </row>
    <row r="251" spans="1:6" ht="15.75">
      <c r="A251" s="22" t="s">
        <v>1441</v>
      </c>
      <c r="B251" s="26">
        <v>40832</v>
      </c>
      <c r="C251" s="27">
        <v>0</v>
      </c>
      <c r="D251" s="25" t="str">
        <f t="shared" si="6"/>
        <v>201141</v>
      </c>
      <c r="E251" s="22" t="str">
        <f t="shared" ca="1" si="7"/>
        <v>201110</v>
      </c>
      <c r="F251" s="22">
        <v>2011</v>
      </c>
    </row>
    <row r="252" spans="1:6" ht="15.75">
      <c r="A252" s="22" t="s">
        <v>1441</v>
      </c>
      <c r="B252" s="26">
        <v>40833</v>
      </c>
      <c r="C252" s="27">
        <v>0</v>
      </c>
      <c r="D252" s="25" t="str">
        <f t="shared" si="6"/>
        <v>201142</v>
      </c>
      <c r="E252" s="22" t="str">
        <f t="shared" ca="1" si="7"/>
        <v>201110</v>
      </c>
      <c r="F252" s="22">
        <v>2011</v>
      </c>
    </row>
    <row r="253" spans="1:6" ht="15.75">
      <c r="A253" s="22" t="s">
        <v>1441</v>
      </c>
      <c r="B253" s="26">
        <v>40834</v>
      </c>
      <c r="C253" s="27">
        <v>0</v>
      </c>
      <c r="D253" s="25" t="str">
        <f t="shared" si="6"/>
        <v>201142</v>
      </c>
      <c r="E253" s="22" t="str">
        <f t="shared" ca="1" si="7"/>
        <v>201110</v>
      </c>
      <c r="F253" s="22">
        <v>2011</v>
      </c>
    </row>
    <row r="254" spans="1:6" ht="15.75">
      <c r="A254" s="22" t="s">
        <v>1441</v>
      </c>
      <c r="B254" s="26">
        <v>40835</v>
      </c>
      <c r="C254" s="27">
        <v>0</v>
      </c>
      <c r="D254" s="25" t="str">
        <f t="shared" si="6"/>
        <v>201142</v>
      </c>
      <c r="E254" s="22" t="str">
        <f t="shared" ca="1" si="7"/>
        <v>201110</v>
      </c>
      <c r="F254" s="22">
        <v>2011</v>
      </c>
    </row>
    <row r="255" spans="1:6" ht="15.75">
      <c r="A255" s="22" t="s">
        <v>1441</v>
      </c>
      <c r="B255" s="26">
        <v>40836</v>
      </c>
      <c r="C255" s="27">
        <v>0</v>
      </c>
      <c r="D255" s="25" t="str">
        <f t="shared" si="6"/>
        <v>201142</v>
      </c>
      <c r="E255" s="22" t="str">
        <f t="shared" ca="1" si="7"/>
        <v>201110</v>
      </c>
      <c r="F255" s="22">
        <v>2011</v>
      </c>
    </row>
    <row r="256" spans="1:6" ht="15.75">
      <c r="A256" s="22" t="s">
        <v>1441</v>
      </c>
      <c r="B256" s="26">
        <v>40837</v>
      </c>
      <c r="C256" s="27">
        <v>0</v>
      </c>
      <c r="D256" s="25" t="str">
        <f t="shared" si="6"/>
        <v>201142</v>
      </c>
      <c r="E256" s="22" t="str">
        <f t="shared" ca="1" si="7"/>
        <v>201110</v>
      </c>
      <c r="F256" s="22">
        <v>2011</v>
      </c>
    </row>
    <row r="257" spans="1:6" ht="15.75">
      <c r="A257" s="22" t="s">
        <v>1441</v>
      </c>
      <c r="B257" s="26">
        <v>40838</v>
      </c>
      <c r="C257" s="27">
        <v>0</v>
      </c>
      <c r="D257" s="25" t="str">
        <f t="shared" si="6"/>
        <v>201142</v>
      </c>
      <c r="E257" s="22" t="str">
        <f t="shared" ca="1" si="7"/>
        <v>201110</v>
      </c>
      <c r="F257" s="22">
        <v>2011</v>
      </c>
    </row>
    <row r="258" spans="1:6" ht="15.75">
      <c r="A258" s="22" t="s">
        <v>1441</v>
      </c>
      <c r="B258" s="26">
        <v>40839</v>
      </c>
      <c r="C258" s="27">
        <v>0</v>
      </c>
      <c r="D258" s="25" t="str">
        <f t="shared" si="6"/>
        <v>201142</v>
      </c>
      <c r="E258" s="22" t="str">
        <f t="shared" ca="1" si="7"/>
        <v>201110</v>
      </c>
      <c r="F258" s="22">
        <v>2011</v>
      </c>
    </row>
    <row r="259" spans="1:6" ht="15.75">
      <c r="A259" s="22" t="s">
        <v>1441</v>
      </c>
      <c r="B259" s="26">
        <v>40840</v>
      </c>
      <c r="C259" s="27">
        <v>0</v>
      </c>
      <c r="D259" s="25" t="str">
        <f t="shared" ref="D259:D322" si="8">CONCATENATE(YEAR(B259-WEEKDAY(B259,3)+3),TEXT(WEEKNUM(B259,21),"00"))</f>
        <v>201143</v>
      </c>
      <c r="E259" s="22" t="str">
        <f t="shared" ref="E259:E322" ca="1" si="9">IF(
  AND(
    YEAR(B259)=YEAR(TODAY())-1,
    MONTH(B259)=MONTH(TODAY()),
    DAY(B259)&gt;DAY($H$2)
  ),
  0,
  CONCATENATE(YEAR(B259),TEXT(MONTH(B259),"00"))
)</f>
        <v>201110</v>
      </c>
      <c r="F259" s="22">
        <v>2011</v>
      </c>
    </row>
    <row r="260" spans="1:6" ht="15.75">
      <c r="A260" s="22" t="s">
        <v>1441</v>
      </c>
      <c r="B260" s="26">
        <v>40841</v>
      </c>
      <c r="C260" s="27">
        <v>0</v>
      </c>
      <c r="D260" s="25" t="str">
        <f t="shared" si="8"/>
        <v>201143</v>
      </c>
      <c r="E260" s="22" t="str">
        <f t="shared" ca="1" si="9"/>
        <v>201110</v>
      </c>
      <c r="F260" s="22">
        <v>2011</v>
      </c>
    </row>
    <row r="261" spans="1:6" ht="15.75">
      <c r="A261" s="22" t="s">
        <v>1441</v>
      </c>
      <c r="B261" s="26">
        <v>40842</v>
      </c>
      <c r="C261" s="27">
        <v>0</v>
      </c>
      <c r="D261" s="25" t="str">
        <f t="shared" si="8"/>
        <v>201143</v>
      </c>
      <c r="E261" s="22" t="str">
        <f t="shared" ca="1" si="9"/>
        <v>201110</v>
      </c>
      <c r="F261" s="22">
        <v>2011</v>
      </c>
    </row>
    <row r="262" spans="1:6" ht="15.75">
      <c r="A262" s="22" t="s">
        <v>1441</v>
      </c>
      <c r="B262" s="26">
        <v>40843</v>
      </c>
      <c r="C262" s="27">
        <v>0</v>
      </c>
      <c r="D262" s="25" t="str">
        <f t="shared" si="8"/>
        <v>201143</v>
      </c>
      <c r="E262" s="22" t="str">
        <f t="shared" ca="1" si="9"/>
        <v>201110</v>
      </c>
      <c r="F262" s="22">
        <v>2011</v>
      </c>
    </row>
    <row r="263" spans="1:6" ht="15.75">
      <c r="A263" s="22" t="s">
        <v>1441</v>
      </c>
      <c r="B263" s="26">
        <v>40844</v>
      </c>
      <c r="C263" s="27">
        <v>0</v>
      </c>
      <c r="D263" s="25" t="str">
        <f t="shared" si="8"/>
        <v>201143</v>
      </c>
      <c r="E263" s="22" t="str">
        <f t="shared" ca="1" si="9"/>
        <v>201110</v>
      </c>
      <c r="F263" s="22">
        <v>2011</v>
      </c>
    </row>
    <row r="264" spans="1:6" ht="15.75">
      <c r="A264" s="22" t="s">
        <v>1441</v>
      </c>
      <c r="B264" s="26">
        <v>40845</v>
      </c>
      <c r="C264" s="27">
        <v>0</v>
      </c>
      <c r="D264" s="25" t="str">
        <f t="shared" si="8"/>
        <v>201143</v>
      </c>
      <c r="E264" s="22" t="str">
        <f t="shared" ca="1" si="9"/>
        <v>201110</v>
      </c>
      <c r="F264" s="22">
        <v>2011</v>
      </c>
    </row>
    <row r="265" spans="1:6" ht="15.75">
      <c r="A265" s="22" t="s">
        <v>1441</v>
      </c>
      <c r="B265" s="26">
        <v>40846</v>
      </c>
      <c r="C265" s="27">
        <v>0</v>
      </c>
      <c r="D265" s="25" t="str">
        <f t="shared" si="8"/>
        <v>201143</v>
      </c>
      <c r="E265" s="22" t="str">
        <f t="shared" ca="1" si="9"/>
        <v>201110</v>
      </c>
      <c r="F265" s="22">
        <v>2011</v>
      </c>
    </row>
    <row r="266" spans="1:6" ht="15.75">
      <c r="A266" s="22" t="s">
        <v>1441</v>
      </c>
      <c r="B266" s="26">
        <v>40847</v>
      </c>
      <c r="C266" s="27">
        <v>0</v>
      </c>
      <c r="D266" s="25" t="str">
        <f t="shared" si="8"/>
        <v>201144</v>
      </c>
      <c r="E266" s="22" t="str">
        <f t="shared" ca="1" si="9"/>
        <v>201110</v>
      </c>
      <c r="F266" s="22">
        <v>2011</v>
      </c>
    </row>
    <row r="267" spans="1:6" ht="15.75">
      <c r="A267" s="22" t="s">
        <v>1441</v>
      </c>
      <c r="B267" s="26">
        <v>40848</v>
      </c>
      <c r="C267" s="27">
        <v>0</v>
      </c>
      <c r="D267" s="25" t="str">
        <f t="shared" si="8"/>
        <v>201144</v>
      </c>
      <c r="E267" s="22" t="str">
        <f t="shared" ca="1" si="9"/>
        <v>201111</v>
      </c>
      <c r="F267" s="22">
        <v>2012</v>
      </c>
    </row>
    <row r="268" spans="1:6" ht="15.75">
      <c r="A268" s="22" t="s">
        <v>1441</v>
      </c>
      <c r="B268" s="26">
        <v>40849</v>
      </c>
      <c r="C268" s="27">
        <v>0</v>
      </c>
      <c r="D268" s="25" t="str">
        <f t="shared" si="8"/>
        <v>201144</v>
      </c>
      <c r="E268" s="22" t="str">
        <f t="shared" ca="1" si="9"/>
        <v>201111</v>
      </c>
      <c r="F268" s="22">
        <v>2012</v>
      </c>
    </row>
    <row r="269" spans="1:6" ht="15.75">
      <c r="A269" s="22" t="s">
        <v>1441</v>
      </c>
      <c r="B269" s="26">
        <v>40850</v>
      </c>
      <c r="C269" s="27">
        <v>0</v>
      </c>
      <c r="D269" s="25" t="str">
        <f t="shared" si="8"/>
        <v>201144</v>
      </c>
      <c r="E269" s="22" t="str">
        <f t="shared" ca="1" si="9"/>
        <v>201111</v>
      </c>
      <c r="F269" s="22">
        <v>2012</v>
      </c>
    </row>
    <row r="270" spans="1:6" ht="15.75">
      <c r="A270" s="22" t="s">
        <v>1441</v>
      </c>
      <c r="B270" s="26">
        <v>40851</v>
      </c>
      <c r="C270" s="27">
        <v>0</v>
      </c>
      <c r="D270" s="25" t="str">
        <f t="shared" si="8"/>
        <v>201144</v>
      </c>
      <c r="E270" s="22" t="str">
        <f t="shared" ca="1" si="9"/>
        <v>201111</v>
      </c>
      <c r="F270" s="22">
        <v>2012</v>
      </c>
    </row>
    <row r="271" spans="1:6" ht="15.75">
      <c r="A271" s="22" t="s">
        <v>1441</v>
      </c>
      <c r="B271" s="26">
        <v>40852</v>
      </c>
      <c r="C271" s="27">
        <v>0</v>
      </c>
      <c r="D271" s="25" t="str">
        <f t="shared" si="8"/>
        <v>201144</v>
      </c>
      <c r="E271" s="22" t="str">
        <f t="shared" ca="1" si="9"/>
        <v>201111</v>
      </c>
      <c r="F271" s="22">
        <v>2012</v>
      </c>
    </row>
    <row r="272" spans="1:6" ht="15.75">
      <c r="A272" s="22" t="s">
        <v>1441</v>
      </c>
      <c r="B272" s="26">
        <v>40853</v>
      </c>
      <c r="C272" s="27">
        <v>0</v>
      </c>
      <c r="D272" s="25" t="str">
        <f t="shared" si="8"/>
        <v>201144</v>
      </c>
      <c r="E272" s="22" t="str">
        <f t="shared" ca="1" si="9"/>
        <v>201111</v>
      </c>
      <c r="F272" s="22">
        <v>2012</v>
      </c>
    </row>
    <row r="273" spans="1:6" ht="15.75">
      <c r="A273" s="22" t="s">
        <v>1441</v>
      </c>
      <c r="B273" s="26">
        <v>40854</v>
      </c>
      <c r="C273" s="27">
        <v>0</v>
      </c>
      <c r="D273" s="25" t="str">
        <f t="shared" si="8"/>
        <v>201145</v>
      </c>
      <c r="E273" s="22" t="str">
        <f t="shared" ca="1" si="9"/>
        <v>201111</v>
      </c>
      <c r="F273" s="22">
        <v>2012</v>
      </c>
    </row>
    <row r="274" spans="1:6" ht="15.75">
      <c r="A274" s="22" t="s">
        <v>1441</v>
      </c>
      <c r="B274" s="26">
        <v>40855</v>
      </c>
      <c r="C274" s="27">
        <v>0</v>
      </c>
      <c r="D274" s="25" t="str">
        <f t="shared" si="8"/>
        <v>201145</v>
      </c>
      <c r="E274" s="22" t="str">
        <f t="shared" ca="1" si="9"/>
        <v>201111</v>
      </c>
      <c r="F274" s="22">
        <v>2012</v>
      </c>
    </row>
    <row r="275" spans="1:6" ht="15.75">
      <c r="A275" s="22" t="s">
        <v>1441</v>
      </c>
      <c r="B275" s="26">
        <v>40856</v>
      </c>
      <c r="C275" s="27">
        <v>0</v>
      </c>
      <c r="D275" s="25" t="str">
        <f t="shared" si="8"/>
        <v>201145</v>
      </c>
      <c r="E275" s="22" t="str">
        <f t="shared" ca="1" si="9"/>
        <v>201111</v>
      </c>
      <c r="F275" s="22">
        <v>2012</v>
      </c>
    </row>
    <row r="276" spans="1:6" ht="15.75">
      <c r="A276" s="22" t="s">
        <v>1441</v>
      </c>
      <c r="B276" s="26">
        <v>40857</v>
      </c>
      <c r="C276" s="27">
        <v>0</v>
      </c>
      <c r="D276" s="25" t="str">
        <f t="shared" si="8"/>
        <v>201145</v>
      </c>
      <c r="E276" s="22" t="str">
        <f t="shared" ca="1" si="9"/>
        <v>201111</v>
      </c>
      <c r="F276" s="22">
        <v>2012</v>
      </c>
    </row>
    <row r="277" spans="1:6" ht="15.75">
      <c r="A277" s="22" t="s">
        <v>1441</v>
      </c>
      <c r="B277" s="26">
        <v>40858</v>
      </c>
      <c r="C277" s="27">
        <v>0</v>
      </c>
      <c r="D277" s="25" t="str">
        <f t="shared" si="8"/>
        <v>201145</v>
      </c>
      <c r="E277" s="22" t="str">
        <f t="shared" ca="1" si="9"/>
        <v>201111</v>
      </c>
      <c r="F277" s="22">
        <v>2012</v>
      </c>
    </row>
    <row r="278" spans="1:6" ht="15.75">
      <c r="A278" s="22" t="s">
        <v>1441</v>
      </c>
      <c r="B278" s="26">
        <v>40859</v>
      </c>
      <c r="C278" s="27">
        <v>0</v>
      </c>
      <c r="D278" s="25" t="str">
        <f t="shared" si="8"/>
        <v>201145</v>
      </c>
      <c r="E278" s="22" t="str">
        <f t="shared" ca="1" si="9"/>
        <v>201111</v>
      </c>
      <c r="F278" s="22">
        <v>2012</v>
      </c>
    </row>
    <row r="279" spans="1:6" ht="15.75">
      <c r="A279" s="22" t="s">
        <v>1441</v>
      </c>
      <c r="B279" s="26">
        <v>40860</v>
      </c>
      <c r="C279" s="27">
        <v>0</v>
      </c>
      <c r="D279" s="25" t="str">
        <f t="shared" si="8"/>
        <v>201145</v>
      </c>
      <c r="E279" s="22" t="str">
        <f t="shared" ca="1" si="9"/>
        <v>201111</v>
      </c>
      <c r="F279" s="22">
        <v>2012</v>
      </c>
    </row>
    <row r="280" spans="1:6" ht="15.75">
      <c r="A280" s="22" t="s">
        <v>1441</v>
      </c>
      <c r="B280" s="26">
        <v>40861</v>
      </c>
      <c r="C280" s="27">
        <v>0</v>
      </c>
      <c r="D280" s="25" t="str">
        <f t="shared" si="8"/>
        <v>201146</v>
      </c>
      <c r="E280" s="22" t="str">
        <f t="shared" ca="1" si="9"/>
        <v>201111</v>
      </c>
      <c r="F280" s="22">
        <v>2012</v>
      </c>
    </row>
    <row r="281" spans="1:6" ht="15.75">
      <c r="A281" s="22" t="s">
        <v>1441</v>
      </c>
      <c r="B281" s="26">
        <v>40862</v>
      </c>
      <c r="C281" s="27">
        <v>0</v>
      </c>
      <c r="D281" s="25" t="str">
        <f t="shared" si="8"/>
        <v>201146</v>
      </c>
      <c r="E281" s="22" t="str">
        <f t="shared" ca="1" si="9"/>
        <v>201111</v>
      </c>
      <c r="F281" s="22">
        <v>2012</v>
      </c>
    </row>
    <row r="282" spans="1:6" ht="15.75">
      <c r="A282" s="22" t="s">
        <v>1441</v>
      </c>
      <c r="B282" s="26">
        <v>40863</v>
      </c>
      <c r="C282" s="27">
        <v>0</v>
      </c>
      <c r="D282" s="25" t="str">
        <f t="shared" si="8"/>
        <v>201146</v>
      </c>
      <c r="E282" s="22" t="str">
        <f t="shared" ca="1" si="9"/>
        <v>201111</v>
      </c>
      <c r="F282" s="22">
        <v>2012</v>
      </c>
    </row>
    <row r="283" spans="1:6" ht="15.75">
      <c r="A283" s="22" t="s">
        <v>1441</v>
      </c>
      <c r="B283" s="26">
        <v>40864</v>
      </c>
      <c r="C283" s="27">
        <v>0</v>
      </c>
      <c r="D283" s="25" t="str">
        <f t="shared" si="8"/>
        <v>201146</v>
      </c>
      <c r="E283" s="22" t="str">
        <f t="shared" ca="1" si="9"/>
        <v>201111</v>
      </c>
      <c r="F283" s="22">
        <v>2012</v>
      </c>
    </row>
    <row r="284" spans="1:6" ht="15.75">
      <c r="A284" s="22" t="s">
        <v>1441</v>
      </c>
      <c r="B284" s="26">
        <v>40865</v>
      </c>
      <c r="C284" s="27">
        <v>0</v>
      </c>
      <c r="D284" s="25" t="str">
        <f t="shared" si="8"/>
        <v>201146</v>
      </c>
      <c r="E284" s="22" t="str">
        <f t="shared" ca="1" si="9"/>
        <v>201111</v>
      </c>
      <c r="F284" s="22">
        <v>2012</v>
      </c>
    </row>
    <row r="285" spans="1:6" ht="15.75">
      <c r="A285" s="22" t="s">
        <v>1441</v>
      </c>
      <c r="B285" s="26">
        <v>40866</v>
      </c>
      <c r="C285" s="27">
        <v>0</v>
      </c>
      <c r="D285" s="25" t="str">
        <f t="shared" si="8"/>
        <v>201146</v>
      </c>
      <c r="E285" s="22" t="str">
        <f t="shared" ca="1" si="9"/>
        <v>201111</v>
      </c>
      <c r="F285" s="22">
        <v>2012</v>
      </c>
    </row>
    <row r="286" spans="1:6" ht="15.75">
      <c r="A286" s="22" t="s">
        <v>1441</v>
      </c>
      <c r="B286" s="26">
        <v>40867</v>
      </c>
      <c r="C286" s="27">
        <v>0</v>
      </c>
      <c r="D286" s="25" t="str">
        <f t="shared" si="8"/>
        <v>201146</v>
      </c>
      <c r="E286" s="22" t="str">
        <f t="shared" ca="1" si="9"/>
        <v>201111</v>
      </c>
      <c r="F286" s="22">
        <v>2012</v>
      </c>
    </row>
    <row r="287" spans="1:6" ht="15.75">
      <c r="A287" s="22" t="s">
        <v>1441</v>
      </c>
      <c r="B287" s="26">
        <v>40868</v>
      </c>
      <c r="C287" s="27">
        <v>0</v>
      </c>
      <c r="D287" s="25" t="str">
        <f t="shared" si="8"/>
        <v>201147</v>
      </c>
      <c r="E287" s="22" t="str">
        <f t="shared" ca="1" si="9"/>
        <v>201111</v>
      </c>
      <c r="F287" s="22">
        <v>2012</v>
      </c>
    </row>
    <row r="288" spans="1:6" ht="15.75">
      <c r="A288" s="22" t="s">
        <v>1441</v>
      </c>
      <c r="B288" s="26">
        <v>40869</v>
      </c>
      <c r="C288" s="27">
        <v>0</v>
      </c>
      <c r="D288" s="25" t="str">
        <f t="shared" si="8"/>
        <v>201147</v>
      </c>
      <c r="E288" s="22" t="str">
        <f t="shared" ca="1" si="9"/>
        <v>201111</v>
      </c>
      <c r="F288" s="22">
        <v>2012</v>
      </c>
    </row>
    <row r="289" spans="1:6" ht="15.75">
      <c r="A289" s="22" t="s">
        <v>1441</v>
      </c>
      <c r="B289" s="26">
        <v>40870</v>
      </c>
      <c r="C289" s="27">
        <v>0</v>
      </c>
      <c r="D289" s="25" t="str">
        <f t="shared" si="8"/>
        <v>201147</v>
      </c>
      <c r="E289" s="22" t="str">
        <f t="shared" ca="1" si="9"/>
        <v>201111</v>
      </c>
      <c r="F289" s="22">
        <v>2012</v>
      </c>
    </row>
    <row r="290" spans="1:6" ht="15.75">
      <c r="A290" s="22" t="s">
        <v>1441</v>
      </c>
      <c r="B290" s="26">
        <v>40871</v>
      </c>
      <c r="C290" s="27">
        <v>0</v>
      </c>
      <c r="D290" s="25" t="str">
        <f t="shared" si="8"/>
        <v>201147</v>
      </c>
      <c r="E290" s="22" t="str">
        <f t="shared" ca="1" si="9"/>
        <v>201111</v>
      </c>
      <c r="F290" s="22">
        <v>2012</v>
      </c>
    </row>
    <row r="291" spans="1:6" ht="15.75">
      <c r="A291" s="22" t="s">
        <v>1441</v>
      </c>
      <c r="B291" s="26">
        <v>40872</v>
      </c>
      <c r="C291" s="27">
        <v>0</v>
      </c>
      <c r="D291" s="25" t="str">
        <f t="shared" si="8"/>
        <v>201147</v>
      </c>
      <c r="E291" s="22" t="str">
        <f t="shared" ca="1" si="9"/>
        <v>201111</v>
      </c>
      <c r="F291" s="22">
        <v>2012</v>
      </c>
    </row>
    <row r="292" spans="1:6" ht="15.75">
      <c r="A292" s="22" t="s">
        <v>1441</v>
      </c>
      <c r="B292" s="26">
        <v>40873</v>
      </c>
      <c r="C292" s="27">
        <v>0</v>
      </c>
      <c r="D292" s="25" t="str">
        <f t="shared" si="8"/>
        <v>201147</v>
      </c>
      <c r="E292" s="22" t="str">
        <f t="shared" ca="1" si="9"/>
        <v>201111</v>
      </c>
      <c r="F292" s="22">
        <v>2012</v>
      </c>
    </row>
    <row r="293" spans="1:6" ht="15.75">
      <c r="A293" s="22" t="s">
        <v>1441</v>
      </c>
      <c r="B293" s="26">
        <v>40874</v>
      </c>
      <c r="C293" s="27">
        <v>0</v>
      </c>
      <c r="D293" s="25" t="str">
        <f t="shared" si="8"/>
        <v>201147</v>
      </c>
      <c r="E293" s="22" t="str">
        <f t="shared" ca="1" si="9"/>
        <v>201111</v>
      </c>
      <c r="F293" s="22">
        <v>2012</v>
      </c>
    </row>
    <row r="294" spans="1:6" ht="15.75">
      <c r="A294" s="22" t="s">
        <v>1441</v>
      </c>
      <c r="B294" s="26">
        <v>40875</v>
      </c>
      <c r="C294" s="27">
        <v>0</v>
      </c>
      <c r="D294" s="25" t="str">
        <f t="shared" si="8"/>
        <v>201148</v>
      </c>
      <c r="E294" s="22" t="str">
        <f t="shared" ca="1" si="9"/>
        <v>201111</v>
      </c>
      <c r="F294" s="22">
        <v>2012</v>
      </c>
    </row>
    <row r="295" spans="1:6" ht="15.75">
      <c r="A295" s="22" t="s">
        <v>1441</v>
      </c>
      <c r="B295" s="26">
        <v>40876</v>
      </c>
      <c r="C295" s="27">
        <v>0</v>
      </c>
      <c r="D295" s="25" t="str">
        <f t="shared" si="8"/>
        <v>201148</v>
      </c>
      <c r="E295" s="22" t="str">
        <f t="shared" ca="1" si="9"/>
        <v>201111</v>
      </c>
      <c r="F295" s="22">
        <v>2012</v>
      </c>
    </row>
    <row r="296" spans="1:6" ht="15.75">
      <c r="A296" s="22" t="s">
        <v>1441</v>
      </c>
      <c r="B296" s="26">
        <v>40877</v>
      </c>
      <c r="C296" s="27">
        <v>0</v>
      </c>
      <c r="D296" s="25" t="str">
        <f t="shared" si="8"/>
        <v>201148</v>
      </c>
      <c r="E296" s="22" t="str">
        <f t="shared" ca="1" si="9"/>
        <v>201111</v>
      </c>
      <c r="F296" s="22">
        <v>2012</v>
      </c>
    </row>
    <row r="297" spans="1:6" ht="15.75">
      <c r="A297" s="22" t="s">
        <v>1441</v>
      </c>
      <c r="B297" s="26">
        <v>40878</v>
      </c>
      <c r="C297" s="27">
        <v>0</v>
      </c>
      <c r="D297" s="25" t="str">
        <f t="shared" si="8"/>
        <v>201148</v>
      </c>
      <c r="E297" s="22" t="str">
        <f t="shared" ca="1" si="9"/>
        <v>201112</v>
      </c>
      <c r="F297" s="22">
        <v>2012</v>
      </c>
    </row>
    <row r="298" spans="1:6" ht="15.75">
      <c r="A298" s="22" t="s">
        <v>1441</v>
      </c>
      <c r="B298" s="26">
        <v>40879</v>
      </c>
      <c r="C298" s="27">
        <v>0</v>
      </c>
      <c r="D298" s="25" t="str">
        <f t="shared" si="8"/>
        <v>201148</v>
      </c>
      <c r="E298" s="22" t="str">
        <f t="shared" ca="1" si="9"/>
        <v>201112</v>
      </c>
      <c r="F298" s="22">
        <v>2012</v>
      </c>
    </row>
    <row r="299" spans="1:6" ht="15.75">
      <c r="A299" s="22" t="s">
        <v>1441</v>
      </c>
      <c r="B299" s="26">
        <v>40880</v>
      </c>
      <c r="C299" s="27">
        <v>0</v>
      </c>
      <c r="D299" s="25" t="str">
        <f t="shared" si="8"/>
        <v>201148</v>
      </c>
      <c r="E299" s="22" t="str">
        <f t="shared" ca="1" si="9"/>
        <v>201112</v>
      </c>
      <c r="F299" s="22">
        <v>2012</v>
      </c>
    </row>
    <row r="300" spans="1:6" ht="15.75">
      <c r="A300" s="22" t="s">
        <v>1441</v>
      </c>
      <c r="B300" s="26">
        <v>40881</v>
      </c>
      <c r="C300" s="27">
        <v>0</v>
      </c>
      <c r="D300" s="25" t="str">
        <f t="shared" si="8"/>
        <v>201148</v>
      </c>
      <c r="E300" s="22" t="str">
        <f t="shared" ca="1" si="9"/>
        <v>201112</v>
      </c>
      <c r="F300" s="22">
        <v>2012</v>
      </c>
    </row>
    <row r="301" spans="1:6" ht="15.75">
      <c r="A301" s="22" t="s">
        <v>1441</v>
      </c>
      <c r="B301" s="26">
        <v>40882</v>
      </c>
      <c r="C301" s="27">
        <v>0</v>
      </c>
      <c r="D301" s="25" t="str">
        <f t="shared" si="8"/>
        <v>201149</v>
      </c>
      <c r="E301" s="22" t="str">
        <f t="shared" ca="1" si="9"/>
        <v>201112</v>
      </c>
      <c r="F301" s="22">
        <v>2012</v>
      </c>
    </row>
    <row r="302" spans="1:6" ht="15.75">
      <c r="A302" s="22" t="s">
        <v>1441</v>
      </c>
      <c r="B302" s="26">
        <v>40883</v>
      </c>
      <c r="C302" s="27">
        <v>0</v>
      </c>
      <c r="D302" s="25" t="str">
        <f t="shared" si="8"/>
        <v>201149</v>
      </c>
      <c r="E302" s="22" t="str">
        <f t="shared" ca="1" si="9"/>
        <v>201112</v>
      </c>
      <c r="F302" s="22">
        <v>2012</v>
      </c>
    </row>
    <row r="303" spans="1:6" ht="15.75">
      <c r="A303" s="22" t="s">
        <v>1441</v>
      </c>
      <c r="B303" s="26">
        <v>40884</v>
      </c>
      <c r="C303" s="27">
        <v>0</v>
      </c>
      <c r="D303" s="25" t="str">
        <f t="shared" si="8"/>
        <v>201149</v>
      </c>
      <c r="E303" s="22" t="str">
        <f t="shared" ca="1" si="9"/>
        <v>201112</v>
      </c>
      <c r="F303" s="22">
        <v>2012</v>
      </c>
    </row>
    <row r="304" spans="1:6" ht="15.75">
      <c r="A304" s="22" t="s">
        <v>1441</v>
      </c>
      <c r="B304" s="26">
        <v>40885</v>
      </c>
      <c r="C304" s="27">
        <v>0</v>
      </c>
      <c r="D304" s="25" t="str">
        <f t="shared" si="8"/>
        <v>201149</v>
      </c>
      <c r="E304" s="22" t="str">
        <f t="shared" ca="1" si="9"/>
        <v>201112</v>
      </c>
      <c r="F304" s="22">
        <v>2012</v>
      </c>
    </row>
    <row r="305" spans="1:6" ht="15.75">
      <c r="A305" s="22" t="s">
        <v>1441</v>
      </c>
      <c r="B305" s="26">
        <v>40886</v>
      </c>
      <c r="C305" s="27">
        <v>0</v>
      </c>
      <c r="D305" s="25" t="str">
        <f t="shared" si="8"/>
        <v>201149</v>
      </c>
      <c r="E305" s="22" t="str">
        <f t="shared" ca="1" si="9"/>
        <v>201112</v>
      </c>
      <c r="F305" s="22">
        <v>2012</v>
      </c>
    </row>
    <row r="306" spans="1:6" ht="15.75">
      <c r="A306" s="22" t="s">
        <v>1441</v>
      </c>
      <c r="B306" s="26">
        <v>40887</v>
      </c>
      <c r="C306" s="27">
        <v>0</v>
      </c>
      <c r="D306" s="25" t="str">
        <f t="shared" si="8"/>
        <v>201149</v>
      </c>
      <c r="E306" s="22" t="str">
        <f t="shared" ca="1" si="9"/>
        <v>201112</v>
      </c>
      <c r="F306" s="22">
        <v>2012</v>
      </c>
    </row>
    <row r="307" spans="1:6" ht="15.75">
      <c r="A307" s="22" t="s">
        <v>1441</v>
      </c>
      <c r="B307" s="26">
        <v>40888</v>
      </c>
      <c r="C307" s="27">
        <v>0</v>
      </c>
      <c r="D307" s="25" t="str">
        <f t="shared" si="8"/>
        <v>201149</v>
      </c>
      <c r="E307" s="22" t="str">
        <f t="shared" ca="1" si="9"/>
        <v>201112</v>
      </c>
      <c r="F307" s="22">
        <v>2012</v>
      </c>
    </row>
    <row r="308" spans="1:6" ht="15.75">
      <c r="A308" s="22" t="s">
        <v>1441</v>
      </c>
      <c r="B308" s="26">
        <v>40889</v>
      </c>
      <c r="C308" s="27">
        <v>0</v>
      </c>
      <c r="D308" s="25" t="str">
        <f t="shared" si="8"/>
        <v>201150</v>
      </c>
      <c r="E308" s="22" t="str">
        <f t="shared" ca="1" si="9"/>
        <v>201112</v>
      </c>
      <c r="F308" s="22">
        <v>2012</v>
      </c>
    </row>
    <row r="309" spans="1:6" ht="15.75">
      <c r="A309" s="22" t="s">
        <v>1441</v>
      </c>
      <c r="B309" s="26">
        <v>40890</v>
      </c>
      <c r="C309" s="27">
        <v>0</v>
      </c>
      <c r="D309" s="25" t="str">
        <f t="shared" si="8"/>
        <v>201150</v>
      </c>
      <c r="E309" s="22" t="str">
        <f t="shared" ca="1" si="9"/>
        <v>201112</v>
      </c>
      <c r="F309" s="22">
        <v>2012</v>
      </c>
    </row>
    <row r="310" spans="1:6" ht="15.75">
      <c r="A310" s="22" t="s">
        <v>1441</v>
      </c>
      <c r="B310" s="26">
        <v>40891</v>
      </c>
      <c r="C310" s="27">
        <v>0</v>
      </c>
      <c r="D310" s="25" t="str">
        <f t="shared" si="8"/>
        <v>201150</v>
      </c>
      <c r="E310" s="22" t="str">
        <f t="shared" ca="1" si="9"/>
        <v>201112</v>
      </c>
      <c r="F310" s="22">
        <v>2012</v>
      </c>
    </row>
    <row r="311" spans="1:6" ht="15.75">
      <c r="A311" s="22" t="s">
        <v>1441</v>
      </c>
      <c r="B311" s="26">
        <v>40892</v>
      </c>
      <c r="C311" s="27">
        <v>0</v>
      </c>
      <c r="D311" s="25" t="str">
        <f t="shared" si="8"/>
        <v>201150</v>
      </c>
      <c r="E311" s="22" t="str">
        <f t="shared" ca="1" si="9"/>
        <v>201112</v>
      </c>
      <c r="F311" s="22">
        <v>2012</v>
      </c>
    </row>
    <row r="312" spans="1:6" ht="15.75">
      <c r="A312" s="22" t="s">
        <v>1441</v>
      </c>
      <c r="B312" s="26">
        <v>40893</v>
      </c>
      <c r="C312" s="27">
        <v>0</v>
      </c>
      <c r="D312" s="25" t="str">
        <f t="shared" si="8"/>
        <v>201150</v>
      </c>
      <c r="E312" s="22" t="str">
        <f t="shared" ca="1" si="9"/>
        <v>201112</v>
      </c>
      <c r="F312" s="22">
        <v>2012</v>
      </c>
    </row>
    <row r="313" spans="1:6" ht="15.75">
      <c r="A313" s="22" t="s">
        <v>1441</v>
      </c>
      <c r="B313" s="26">
        <v>40894</v>
      </c>
      <c r="C313" s="27">
        <v>0</v>
      </c>
      <c r="D313" s="25" t="str">
        <f t="shared" si="8"/>
        <v>201150</v>
      </c>
      <c r="E313" s="22" t="str">
        <f t="shared" ca="1" si="9"/>
        <v>201112</v>
      </c>
      <c r="F313" s="22">
        <v>2012</v>
      </c>
    </row>
    <row r="314" spans="1:6" ht="15.75">
      <c r="A314" s="22" t="s">
        <v>1441</v>
      </c>
      <c r="B314" s="26">
        <v>40895</v>
      </c>
      <c r="C314" s="27">
        <v>0</v>
      </c>
      <c r="D314" s="25" t="str">
        <f t="shared" si="8"/>
        <v>201150</v>
      </c>
      <c r="E314" s="22" t="str">
        <f t="shared" ca="1" si="9"/>
        <v>201112</v>
      </c>
      <c r="F314" s="22">
        <v>2012</v>
      </c>
    </row>
    <row r="315" spans="1:6" ht="15.75">
      <c r="A315" s="22" t="s">
        <v>1441</v>
      </c>
      <c r="B315" s="26">
        <v>40896</v>
      </c>
      <c r="C315" s="27">
        <v>0</v>
      </c>
      <c r="D315" s="25" t="str">
        <f t="shared" si="8"/>
        <v>201151</v>
      </c>
      <c r="E315" s="22" t="str">
        <f t="shared" ca="1" si="9"/>
        <v>201112</v>
      </c>
      <c r="F315" s="22">
        <v>2012</v>
      </c>
    </row>
    <row r="316" spans="1:6" ht="15.75">
      <c r="A316" s="22" t="s">
        <v>1441</v>
      </c>
      <c r="B316" s="26">
        <v>40897</v>
      </c>
      <c r="C316" s="27">
        <v>0</v>
      </c>
      <c r="D316" s="25" t="str">
        <f t="shared" si="8"/>
        <v>201151</v>
      </c>
      <c r="E316" s="22" t="str">
        <f t="shared" ca="1" si="9"/>
        <v>201112</v>
      </c>
      <c r="F316" s="22">
        <v>2012</v>
      </c>
    </row>
    <row r="317" spans="1:6" ht="15.75">
      <c r="A317" s="22" t="s">
        <v>1441</v>
      </c>
      <c r="B317" s="26">
        <v>40898</v>
      </c>
      <c r="C317" s="27">
        <v>0</v>
      </c>
      <c r="D317" s="25" t="str">
        <f t="shared" si="8"/>
        <v>201151</v>
      </c>
      <c r="E317" s="22" t="str">
        <f t="shared" ca="1" si="9"/>
        <v>201112</v>
      </c>
      <c r="F317" s="22">
        <v>2012</v>
      </c>
    </row>
    <row r="318" spans="1:6" ht="15.75">
      <c r="A318" s="22" t="s">
        <v>1441</v>
      </c>
      <c r="B318" s="26">
        <v>40899</v>
      </c>
      <c r="C318" s="27">
        <v>0</v>
      </c>
      <c r="D318" s="25" t="str">
        <f t="shared" si="8"/>
        <v>201151</v>
      </c>
      <c r="E318" s="22" t="str">
        <f t="shared" ca="1" si="9"/>
        <v>201112</v>
      </c>
      <c r="F318" s="22">
        <v>2012</v>
      </c>
    </row>
    <row r="319" spans="1:6" ht="15.75">
      <c r="A319" s="22" t="s">
        <v>1441</v>
      </c>
      <c r="B319" s="26">
        <v>40900</v>
      </c>
      <c r="C319" s="27">
        <v>0</v>
      </c>
      <c r="D319" s="25" t="str">
        <f t="shared" si="8"/>
        <v>201151</v>
      </c>
      <c r="E319" s="22" t="str">
        <f t="shared" ca="1" si="9"/>
        <v>201112</v>
      </c>
      <c r="F319" s="22">
        <v>2012</v>
      </c>
    </row>
    <row r="320" spans="1:6" ht="15.75">
      <c r="A320" s="22" t="s">
        <v>1441</v>
      </c>
      <c r="B320" s="26">
        <v>40901</v>
      </c>
      <c r="C320" s="27">
        <v>0</v>
      </c>
      <c r="D320" s="25" t="str">
        <f t="shared" si="8"/>
        <v>201151</v>
      </c>
      <c r="E320" s="22" t="str">
        <f t="shared" ca="1" si="9"/>
        <v>201112</v>
      </c>
      <c r="F320" s="22">
        <v>2012</v>
      </c>
    </row>
    <row r="321" spans="1:6" ht="15.75">
      <c r="A321" s="22" t="s">
        <v>1441</v>
      </c>
      <c r="B321" s="26">
        <v>40902</v>
      </c>
      <c r="C321" s="27">
        <v>0</v>
      </c>
      <c r="D321" s="25" t="str">
        <f t="shared" si="8"/>
        <v>201151</v>
      </c>
      <c r="E321" s="22" t="str">
        <f t="shared" ca="1" si="9"/>
        <v>201112</v>
      </c>
      <c r="F321" s="22">
        <v>2012</v>
      </c>
    </row>
    <row r="322" spans="1:6" ht="15.75">
      <c r="A322" s="22" t="s">
        <v>1441</v>
      </c>
      <c r="B322" s="26">
        <v>40903</v>
      </c>
      <c r="C322" s="27">
        <v>0</v>
      </c>
      <c r="D322" s="25" t="str">
        <f t="shared" si="8"/>
        <v>201152</v>
      </c>
      <c r="E322" s="22" t="str">
        <f t="shared" ca="1" si="9"/>
        <v>201112</v>
      </c>
      <c r="F322" s="22">
        <v>2012</v>
      </c>
    </row>
    <row r="323" spans="1:6" ht="15.75">
      <c r="A323" s="22" t="s">
        <v>1441</v>
      </c>
      <c r="B323" s="26">
        <v>40904</v>
      </c>
      <c r="C323" s="27">
        <v>0</v>
      </c>
      <c r="D323" s="25" t="str">
        <f t="shared" ref="D323:D386" si="10">CONCATENATE(YEAR(B323-WEEKDAY(B323,3)+3),TEXT(WEEKNUM(B323,21),"00"))</f>
        <v>201152</v>
      </c>
      <c r="E323" s="22" t="str">
        <f t="shared" ref="E323:E386" ca="1" si="11">IF(
  AND(
    YEAR(B323)=YEAR(TODAY())-1,
    MONTH(B323)=MONTH(TODAY()),
    DAY(B323)&gt;DAY($H$2)
  ),
  0,
  CONCATENATE(YEAR(B323),TEXT(MONTH(B323),"00"))
)</f>
        <v>201112</v>
      </c>
      <c r="F323" s="22">
        <v>2012</v>
      </c>
    </row>
    <row r="324" spans="1:6" ht="15.75">
      <c r="A324" s="22" t="s">
        <v>1441</v>
      </c>
      <c r="B324" s="26">
        <v>40905</v>
      </c>
      <c r="C324" s="27">
        <v>0</v>
      </c>
      <c r="D324" s="25" t="str">
        <f t="shared" si="10"/>
        <v>201152</v>
      </c>
      <c r="E324" s="22" t="str">
        <f t="shared" ca="1" si="11"/>
        <v>201112</v>
      </c>
      <c r="F324" s="22">
        <v>2012</v>
      </c>
    </row>
    <row r="325" spans="1:6" ht="15.75">
      <c r="A325" s="22" t="s">
        <v>1441</v>
      </c>
      <c r="B325" s="26">
        <v>40906</v>
      </c>
      <c r="C325" s="27">
        <v>0</v>
      </c>
      <c r="D325" s="25" t="str">
        <f t="shared" si="10"/>
        <v>201152</v>
      </c>
      <c r="E325" s="22" t="str">
        <f t="shared" ca="1" si="11"/>
        <v>201112</v>
      </c>
      <c r="F325" s="22">
        <v>2012</v>
      </c>
    </row>
    <row r="326" spans="1:6" ht="15.75">
      <c r="A326" s="22" t="s">
        <v>1441</v>
      </c>
      <c r="B326" s="26">
        <v>40907</v>
      </c>
      <c r="C326" s="27">
        <v>0</v>
      </c>
      <c r="D326" s="25" t="str">
        <f t="shared" si="10"/>
        <v>201152</v>
      </c>
      <c r="E326" s="22" t="str">
        <f t="shared" ca="1" si="11"/>
        <v>201112</v>
      </c>
      <c r="F326" s="22">
        <v>2012</v>
      </c>
    </row>
    <row r="327" spans="1:6" ht="15.75">
      <c r="A327" s="22" t="s">
        <v>1441</v>
      </c>
      <c r="B327" s="26">
        <v>40908</v>
      </c>
      <c r="C327" s="27">
        <v>0</v>
      </c>
      <c r="D327" s="25" t="str">
        <f t="shared" si="10"/>
        <v>201152</v>
      </c>
      <c r="E327" s="22" t="str">
        <f t="shared" ca="1" si="11"/>
        <v>201112</v>
      </c>
      <c r="F327" s="22">
        <v>2012</v>
      </c>
    </row>
    <row r="328" spans="1:6" ht="15.75">
      <c r="A328" s="22" t="s">
        <v>1441</v>
      </c>
      <c r="B328" s="26">
        <v>40909</v>
      </c>
      <c r="C328" s="27">
        <v>0</v>
      </c>
      <c r="D328" s="25" t="str">
        <f t="shared" si="10"/>
        <v>201152</v>
      </c>
      <c r="E328" s="22" t="str">
        <f t="shared" ca="1" si="11"/>
        <v>201201</v>
      </c>
      <c r="F328" s="22">
        <v>2012</v>
      </c>
    </row>
    <row r="329" spans="1:6" ht="15.75">
      <c r="A329" s="22" t="s">
        <v>1441</v>
      </c>
      <c r="B329" s="26">
        <v>40910</v>
      </c>
      <c r="C329" s="27">
        <v>0</v>
      </c>
      <c r="D329" s="25" t="str">
        <f t="shared" si="10"/>
        <v>201201</v>
      </c>
      <c r="E329" s="22" t="str">
        <f t="shared" ca="1" si="11"/>
        <v>201201</v>
      </c>
      <c r="F329" s="22">
        <v>2012</v>
      </c>
    </row>
    <row r="330" spans="1:6" ht="15.75">
      <c r="A330" s="22" t="s">
        <v>1441</v>
      </c>
      <c r="B330" s="26">
        <v>40911</v>
      </c>
      <c r="C330" s="27">
        <v>0</v>
      </c>
      <c r="D330" s="25" t="str">
        <f t="shared" si="10"/>
        <v>201201</v>
      </c>
      <c r="E330" s="22" t="str">
        <f t="shared" ca="1" si="11"/>
        <v>201201</v>
      </c>
      <c r="F330" s="22">
        <v>2012</v>
      </c>
    </row>
    <row r="331" spans="1:6" ht="15.75">
      <c r="A331" s="22" t="s">
        <v>1441</v>
      </c>
      <c r="B331" s="26">
        <v>40912</v>
      </c>
      <c r="C331" s="27">
        <v>0</v>
      </c>
      <c r="D331" s="25" t="str">
        <f t="shared" si="10"/>
        <v>201201</v>
      </c>
      <c r="E331" s="22" t="str">
        <f t="shared" ca="1" si="11"/>
        <v>201201</v>
      </c>
      <c r="F331" s="22">
        <v>2012</v>
      </c>
    </row>
    <row r="332" spans="1:6" ht="15.75">
      <c r="A332" s="22" t="s">
        <v>1441</v>
      </c>
      <c r="B332" s="26">
        <v>40913</v>
      </c>
      <c r="C332" s="27">
        <v>0</v>
      </c>
      <c r="D332" s="25" t="str">
        <f t="shared" si="10"/>
        <v>201201</v>
      </c>
      <c r="E332" s="22" t="str">
        <f t="shared" ca="1" si="11"/>
        <v>201201</v>
      </c>
      <c r="F332" s="22">
        <v>2012</v>
      </c>
    </row>
    <row r="333" spans="1:6" ht="15.75">
      <c r="A333" s="22" t="s">
        <v>1441</v>
      </c>
      <c r="B333" s="26">
        <v>40914</v>
      </c>
      <c r="C333" s="27">
        <v>0</v>
      </c>
      <c r="D333" s="25" t="str">
        <f t="shared" si="10"/>
        <v>201201</v>
      </c>
      <c r="E333" s="22" t="str">
        <f t="shared" ca="1" si="11"/>
        <v>201201</v>
      </c>
      <c r="F333" s="22">
        <v>2012</v>
      </c>
    </row>
    <row r="334" spans="1:6" ht="15.75">
      <c r="A334" s="22" t="s">
        <v>1441</v>
      </c>
      <c r="B334" s="26">
        <v>40915</v>
      </c>
      <c r="C334" s="27">
        <v>0</v>
      </c>
      <c r="D334" s="25" t="str">
        <f t="shared" si="10"/>
        <v>201201</v>
      </c>
      <c r="E334" s="22" t="str">
        <f t="shared" ca="1" si="11"/>
        <v>201201</v>
      </c>
      <c r="F334" s="22">
        <v>2012</v>
      </c>
    </row>
    <row r="335" spans="1:6" ht="15.75">
      <c r="A335" s="22" t="s">
        <v>1441</v>
      </c>
      <c r="B335" s="26">
        <v>40916</v>
      </c>
      <c r="C335" s="27">
        <v>0</v>
      </c>
      <c r="D335" s="25" t="str">
        <f t="shared" si="10"/>
        <v>201201</v>
      </c>
      <c r="E335" s="22" t="str">
        <f t="shared" ca="1" si="11"/>
        <v>201201</v>
      </c>
      <c r="F335" s="22">
        <v>2012</v>
      </c>
    </row>
    <row r="336" spans="1:6" ht="15.75">
      <c r="A336" s="22" t="s">
        <v>1441</v>
      </c>
      <c r="B336" s="26">
        <v>40917</v>
      </c>
      <c r="C336" s="27">
        <v>0</v>
      </c>
      <c r="D336" s="25" t="str">
        <f t="shared" si="10"/>
        <v>201202</v>
      </c>
      <c r="E336" s="22" t="str">
        <f t="shared" ca="1" si="11"/>
        <v>201201</v>
      </c>
      <c r="F336" s="22">
        <v>2012</v>
      </c>
    </row>
    <row r="337" spans="1:6" ht="15.75">
      <c r="A337" s="22" t="s">
        <v>1441</v>
      </c>
      <c r="B337" s="26">
        <v>40918</v>
      </c>
      <c r="C337" s="27">
        <v>0</v>
      </c>
      <c r="D337" s="25" t="str">
        <f t="shared" si="10"/>
        <v>201202</v>
      </c>
      <c r="E337" s="22" t="str">
        <f t="shared" ca="1" si="11"/>
        <v>201201</v>
      </c>
      <c r="F337" s="22">
        <v>2012</v>
      </c>
    </row>
    <row r="338" spans="1:6" ht="15.75">
      <c r="A338" s="22" t="s">
        <v>1441</v>
      </c>
      <c r="B338" s="26">
        <v>40919</v>
      </c>
      <c r="C338" s="27">
        <v>0</v>
      </c>
      <c r="D338" s="25" t="str">
        <f t="shared" si="10"/>
        <v>201202</v>
      </c>
      <c r="E338" s="22" t="str">
        <f t="shared" ca="1" si="11"/>
        <v>201201</v>
      </c>
      <c r="F338" s="22">
        <v>2012</v>
      </c>
    </row>
    <row r="339" spans="1:6" ht="15.75">
      <c r="A339" s="22" t="s">
        <v>1441</v>
      </c>
      <c r="B339" s="26">
        <v>40920</v>
      </c>
      <c r="C339" s="27">
        <v>0</v>
      </c>
      <c r="D339" s="25" t="str">
        <f t="shared" si="10"/>
        <v>201202</v>
      </c>
      <c r="E339" s="22" t="str">
        <f t="shared" ca="1" si="11"/>
        <v>201201</v>
      </c>
      <c r="F339" s="22">
        <v>2012</v>
      </c>
    </row>
    <row r="340" spans="1:6" ht="15.75">
      <c r="A340" s="22" t="s">
        <v>1441</v>
      </c>
      <c r="B340" s="26">
        <v>40921</v>
      </c>
      <c r="C340" s="27">
        <v>0</v>
      </c>
      <c r="D340" s="25" t="str">
        <f t="shared" si="10"/>
        <v>201202</v>
      </c>
      <c r="E340" s="22" t="str">
        <f t="shared" ca="1" si="11"/>
        <v>201201</v>
      </c>
      <c r="F340" s="22">
        <v>2012</v>
      </c>
    </row>
    <row r="341" spans="1:6" ht="15.75">
      <c r="A341" s="22" t="s">
        <v>1441</v>
      </c>
      <c r="B341" s="26">
        <v>40922</v>
      </c>
      <c r="C341" s="27">
        <v>0</v>
      </c>
      <c r="D341" s="25" t="str">
        <f t="shared" si="10"/>
        <v>201202</v>
      </c>
      <c r="E341" s="22" t="str">
        <f t="shared" ca="1" si="11"/>
        <v>201201</v>
      </c>
      <c r="F341" s="22">
        <v>2012</v>
      </c>
    </row>
    <row r="342" spans="1:6" ht="15.75">
      <c r="A342" s="22" t="s">
        <v>1441</v>
      </c>
      <c r="B342" s="26">
        <v>40923</v>
      </c>
      <c r="C342" s="27">
        <v>0</v>
      </c>
      <c r="D342" s="25" t="str">
        <f t="shared" si="10"/>
        <v>201202</v>
      </c>
      <c r="E342" s="22" t="str">
        <f t="shared" ca="1" si="11"/>
        <v>201201</v>
      </c>
      <c r="F342" s="22">
        <v>2012</v>
      </c>
    </row>
    <row r="343" spans="1:6" ht="15.75">
      <c r="A343" s="22" t="s">
        <v>1441</v>
      </c>
      <c r="B343" s="26">
        <v>40924</v>
      </c>
      <c r="C343" s="27">
        <v>0</v>
      </c>
      <c r="D343" s="25" t="str">
        <f t="shared" si="10"/>
        <v>201203</v>
      </c>
      <c r="E343" s="22" t="str">
        <f t="shared" ca="1" si="11"/>
        <v>201201</v>
      </c>
      <c r="F343" s="22">
        <v>2012</v>
      </c>
    </row>
    <row r="344" spans="1:6" ht="15.75">
      <c r="A344" s="22" t="s">
        <v>1441</v>
      </c>
      <c r="B344" s="26">
        <v>40925</v>
      </c>
      <c r="C344" s="27">
        <v>0</v>
      </c>
      <c r="D344" s="25" t="str">
        <f t="shared" si="10"/>
        <v>201203</v>
      </c>
      <c r="E344" s="22" t="str">
        <f t="shared" ca="1" si="11"/>
        <v>201201</v>
      </c>
      <c r="F344" s="22">
        <v>2012</v>
      </c>
    </row>
    <row r="345" spans="1:6" ht="15.75">
      <c r="A345" s="22" t="s">
        <v>1441</v>
      </c>
      <c r="B345" s="26">
        <v>40926</v>
      </c>
      <c r="C345" s="27">
        <v>0</v>
      </c>
      <c r="D345" s="25" t="str">
        <f t="shared" si="10"/>
        <v>201203</v>
      </c>
      <c r="E345" s="22" t="str">
        <f t="shared" ca="1" si="11"/>
        <v>201201</v>
      </c>
      <c r="F345" s="22">
        <v>2012</v>
      </c>
    </row>
    <row r="346" spans="1:6" ht="15.75">
      <c r="A346" s="22" t="s">
        <v>1441</v>
      </c>
      <c r="B346" s="26">
        <v>40927</v>
      </c>
      <c r="C346" s="27">
        <v>0</v>
      </c>
      <c r="D346" s="25" t="str">
        <f t="shared" si="10"/>
        <v>201203</v>
      </c>
      <c r="E346" s="22" t="str">
        <f t="shared" ca="1" si="11"/>
        <v>201201</v>
      </c>
      <c r="F346" s="22">
        <v>2012</v>
      </c>
    </row>
    <row r="347" spans="1:6" ht="15.75">
      <c r="A347" s="22" t="s">
        <v>1441</v>
      </c>
      <c r="B347" s="26">
        <v>40928</v>
      </c>
      <c r="C347" s="27">
        <v>0</v>
      </c>
      <c r="D347" s="25" t="str">
        <f t="shared" si="10"/>
        <v>201203</v>
      </c>
      <c r="E347" s="22" t="str">
        <f t="shared" ca="1" si="11"/>
        <v>201201</v>
      </c>
      <c r="F347" s="22">
        <v>2012</v>
      </c>
    </row>
    <row r="348" spans="1:6" ht="15.75">
      <c r="A348" s="22" t="s">
        <v>1441</v>
      </c>
      <c r="B348" s="26">
        <v>40929</v>
      </c>
      <c r="C348" s="27">
        <v>0</v>
      </c>
      <c r="D348" s="25" t="str">
        <f t="shared" si="10"/>
        <v>201203</v>
      </c>
      <c r="E348" s="22" t="str">
        <f t="shared" ca="1" si="11"/>
        <v>201201</v>
      </c>
      <c r="F348" s="22">
        <v>2012</v>
      </c>
    </row>
    <row r="349" spans="1:6" ht="15.75">
      <c r="A349" s="22" t="s">
        <v>1441</v>
      </c>
      <c r="B349" s="26">
        <v>40930</v>
      </c>
      <c r="C349" s="27">
        <v>0</v>
      </c>
      <c r="D349" s="25" t="str">
        <f t="shared" si="10"/>
        <v>201203</v>
      </c>
      <c r="E349" s="22" t="str">
        <f t="shared" ca="1" si="11"/>
        <v>201201</v>
      </c>
      <c r="F349" s="22">
        <v>2012</v>
      </c>
    </row>
    <row r="350" spans="1:6" ht="15.75">
      <c r="A350" s="22" t="s">
        <v>1441</v>
      </c>
      <c r="B350" s="26">
        <v>40931</v>
      </c>
      <c r="C350" s="27">
        <v>0</v>
      </c>
      <c r="D350" s="25" t="str">
        <f t="shared" si="10"/>
        <v>201204</v>
      </c>
      <c r="E350" s="22" t="str">
        <f t="shared" ca="1" si="11"/>
        <v>201201</v>
      </c>
      <c r="F350" s="22">
        <v>2012</v>
      </c>
    </row>
    <row r="351" spans="1:6" ht="15.75">
      <c r="A351" s="22" t="s">
        <v>1441</v>
      </c>
      <c r="B351" s="26">
        <v>40932</v>
      </c>
      <c r="C351" s="27">
        <v>0</v>
      </c>
      <c r="D351" s="25" t="str">
        <f t="shared" si="10"/>
        <v>201204</v>
      </c>
      <c r="E351" s="22" t="str">
        <f t="shared" ca="1" si="11"/>
        <v>201201</v>
      </c>
      <c r="F351" s="22">
        <v>2012</v>
      </c>
    </row>
    <row r="352" spans="1:6" ht="15.75">
      <c r="A352" s="22" t="s">
        <v>1441</v>
      </c>
      <c r="B352" s="26">
        <v>40933</v>
      </c>
      <c r="C352" s="27">
        <v>0</v>
      </c>
      <c r="D352" s="25" t="str">
        <f t="shared" si="10"/>
        <v>201204</v>
      </c>
      <c r="E352" s="22" t="str">
        <f t="shared" ca="1" si="11"/>
        <v>201201</v>
      </c>
      <c r="F352" s="22">
        <v>2012</v>
      </c>
    </row>
    <row r="353" spans="1:6" ht="15.75">
      <c r="A353" s="22" t="s">
        <v>1441</v>
      </c>
      <c r="B353" s="26">
        <v>40934</v>
      </c>
      <c r="C353" s="27">
        <v>0</v>
      </c>
      <c r="D353" s="25" t="str">
        <f t="shared" si="10"/>
        <v>201204</v>
      </c>
      <c r="E353" s="22" t="str">
        <f t="shared" ca="1" si="11"/>
        <v>201201</v>
      </c>
      <c r="F353" s="22">
        <v>2012</v>
      </c>
    </row>
    <row r="354" spans="1:6" ht="15.75">
      <c r="A354" s="22" t="s">
        <v>1441</v>
      </c>
      <c r="B354" s="26">
        <v>40935</v>
      </c>
      <c r="C354" s="27">
        <v>0</v>
      </c>
      <c r="D354" s="25" t="str">
        <f t="shared" si="10"/>
        <v>201204</v>
      </c>
      <c r="E354" s="22" t="str">
        <f t="shared" ca="1" si="11"/>
        <v>201201</v>
      </c>
      <c r="F354" s="22">
        <v>2012</v>
      </c>
    </row>
    <row r="355" spans="1:6" ht="15.75">
      <c r="A355" s="22" t="s">
        <v>1441</v>
      </c>
      <c r="B355" s="26">
        <v>40936</v>
      </c>
      <c r="C355" s="27">
        <v>0</v>
      </c>
      <c r="D355" s="25" t="str">
        <f t="shared" si="10"/>
        <v>201204</v>
      </c>
      <c r="E355" s="22" t="str">
        <f t="shared" ca="1" si="11"/>
        <v>201201</v>
      </c>
      <c r="F355" s="22">
        <v>2012</v>
      </c>
    </row>
    <row r="356" spans="1:6" ht="15.75">
      <c r="A356" s="22" t="s">
        <v>1441</v>
      </c>
      <c r="B356" s="26">
        <v>40937</v>
      </c>
      <c r="C356" s="27">
        <v>0</v>
      </c>
      <c r="D356" s="25" t="str">
        <f t="shared" si="10"/>
        <v>201204</v>
      </c>
      <c r="E356" s="22" t="str">
        <f t="shared" ca="1" si="11"/>
        <v>201201</v>
      </c>
      <c r="F356" s="22">
        <v>2012</v>
      </c>
    </row>
    <row r="357" spans="1:6" ht="15.75">
      <c r="A357" s="22" t="s">
        <v>1441</v>
      </c>
      <c r="B357" s="26">
        <v>40938</v>
      </c>
      <c r="C357" s="27">
        <v>0</v>
      </c>
      <c r="D357" s="25" t="str">
        <f t="shared" si="10"/>
        <v>201205</v>
      </c>
      <c r="E357" s="22" t="str">
        <f t="shared" ca="1" si="11"/>
        <v>201201</v>
      </c>
      <c r="F357" s="22">
        <v>2012</v>
      </c>
    </row>
    <row r="358" spans="1:6" ht="15.75">
      <c r="A358" s="22" t="s">
        <v>1441</v>
      </c>
      <c r="B358" s="26">
        <v>40939</v>
      </c>
      <c r="C358" s="27">
        <v>0</v>
      </c>
      <c r="D358" s="25" t="str">
        <f t="shared" si="10"/>
        <v>201205</v>
      </c>
      <c r="E358" s="22" t="str">
        <f t="shared" ca="1" si="11"/>
        <v>201201</v>
      </c>
      <c r="F358" s="22">
        <v>2012</v>
      </c>
    </row>
    <row r="359" spans="1:6" ht="15.75">
      <c r="A359" s="22" t="s">
        <v>1441</v>
      </c>
      <c r="B359" s="26">
        <v>40940</v>
      </c>
      <c r="C359" s="27">
        <v>0</v>
      </c>
      <c r="D359" s="25" t="str">
        <f t="shared" si="10"/>
        <v>201205</v>
      </c>
      <c r="E359" s="22" t="str">
        <f t="shared" ca="1" si="11"/>
        <v>201202</v>
      </c>
      <c r="F359" s="22">
        <v>2012</v>
      </c>
    </row>
    <row r="360" spans="1:6" ht="15.75">
      <c r="A360" s="22" t="s">
        <v>1441</v>
      </c>
      <c r="B360" s="26">
        <v>40941</v>
      </c>
      <c r="C360" s="27">
        <v>0</v>
      </c>
      <c r="D360" s="25" t="str">
        <f t="shared" si="10"/>
        <v>201205</v>
      </c>
      <c r="E360" s="22" t="str">
        <f t="shared" ca="1" si="11"/>
        <v>201202</v>
      </c>
      <c r="F360" s="22">
        <v>2012</v>
      </c>
    </row>
    <row r="361" spans="1:6" ht="15.75">
      <c r="A361" s="22" t="s">
        <v>1441</v>
      </c>
      <c r="B361" s="26">
        <v>40942</v>
      </c>
      <c r="C361" s="27">
        <v>0</v>
      </c>
      <c r="D361" s="25" t="str">
        <f t="shared" si="10"/>
        <v>201205</v>
      </c>
      <c r="E361" s="22" t="str">
        <f t="shared" ca="1" si="11"/>
        <v>201202</v>
      </c>
      <c r="F361" s="22">
        <v>2012</v>
      </c>
    </row>
    <row r="362" spans="1:6" ht="15.75">
      <c r="A362" s="22" t="s">
        <v>1441</v>
      </c>
      <c r="B362" s="26">
        <v>40943</v>
      </c>
      <c r="C362" s="27">
        <v>0</v>
      </c>
      <c r="D362" s="25" t="str">
        <f t="shared" si="10"/>
        <v>201205</v>
      </c>
      <c r="E362" s="22" t="str">
        <f t="shared" ca="1" si="11"/>
        <v>201202</v>
      </c>
      <c r="F362" s="22">
        <v>2012</v>
      </c>
    </row>
    <row r="363" spans="1:6" ht="15.75">
      <c r="A363" s="22" t="s">
        <v>1441</v>
      </c>
      <c r="B363" s="26">
        <v>40944</v>
      </c>
      <c r="C363" s="27">
        <v>0</v>
      </c>
      <c r="D363" s="25" t="str">
        <f t="shared" si="10"/>
        <v>201205</v>
      </c>
      <c r="E363" s="22" t="str">
        <f t="shared" ca="1" si="11"/>
        <v>201202</v>
      </c>
      <c r="F363" s="22">
        <v>2012</v>
      </c>
    </row>
    <row r="364" spans="1:6" ht="15.75">
      <c r="A364" s="22" t="s">
        <v>1441</v>
      </c>
      <c r="B364" s="26">
        <v>40945</v>
      </c>
      <c r="C364" s="27">
        <v>0</v>
      </c>
      <c r="D364" s="25" t="str">
        <f t="shared" si="10"/>
        <v>201206</v>
      </c>
      <c r="E364" s="22" t="str">
        <f t="shared" ca="1" si="11"/>
        <v>201202</v>
      </c>
      <c r="F364" s="22">
        <v>2012</v>
      </c>
    </row>
    <row r="365" spans="1:6" ht="15.75">
      <c r="A365" s="22" t="s">
        <v>1441</v>
      </c>
      <c r="B365" s="26">
        <v>40946</v>
      </c>
      <c r="C365" s="27">
        <v>0</v>
      </c>
      <c r="D365" s="25" t="str">
        <f t="shared" si="10"/>
        <v>201206</v>
      </c>
      <c r="E365" s="22" t="str">
        <f t="shared" ca="1" si="11"/>
        <v>201202</v>
      </c>
      <c r="F365" s="22">
        <v>2012</v>
      </c>
    </row>
    <row r="366" spans="1:6" ht="15.75">
      <c r="A366" s="22" t="s">
        <v>1441</v>
      </c>
      <c r="B366" s="26">
        <v>40947</v>
      </c>
      <c r="C366" s="27">
        <v>0</v>
      </c>
      <c r="D366" s="25" t="str">
        <f t="shared" si="10"/>
        <v>201206</v>
      </c>
      <c r="E366" s="22" t="str">
        <f t="shared" ca="1" si="11"/>
        <v>201202</v>
      </c>
      <c r="F366" s="22">
        <v>2012</v>
      </c>
    </row>
    <row r="367" spans="1:6" ht="15.75">
      <c r="A367" s="22" t="s">
        <v>1441</v>
      </c>
      <c r="B367" s="26">
        <v>40948</v>
      </c>
      <c r="C367" s="27">
        <v>0</v>
      </c>
      <c r="D367" s="25" t="str">
        <f t="shared" si="10"/>
        <v>201206</v>
      </c>
      <c r="E367" s="22" t="str">
        <f t="shared" ca="1" si="11"/>
        <v>201202</v>
      </c>
      <c r="F367" s="22">
        <v>2012</v>
      </c>
    </row>
    <row r="368" spans="1:6" ht="15.75">
      <c r="A368" s="22" t="s">
        <v>1441</v>
      </c>
      <c r="B368" s="26">
        <v>40949</v>
      </c>
      <c r="C368" s="27">
        <v>0</v>
      </c>
      <c r="D368" s="25" t="str">
        <f t="shared" si="10"/>
        <v>201206</v>
      </c>
      <c r="E368" s="22" t="str">
        <f t="shared" ca="1" si="11"/>
        <v>201202</v>
      </c>
      <c r="F368" s="22">
        <v>2012</v>
      </c>
    </row>
    <row r="369" spans="1:6" ht="15.75">
      <c r="A369" s="22" t="s">
        <v>1441</v>
      </c>
      <c r="B369" s="26">
        <v>40950</v>
      </c>
      <c r="C369" s="27">
        <v>0</v>
      </c>
      <c r="D369" s="25" t="str">
        <f t="shared" si="10"/>
        <v>201206</v>
      </c>
      <c r="E369" s="22" t="str">
        <f t="shared" ca="1" si="11"/>
        <v>201202</v>
      </c>
      <c r="F369" s="22">
        <v>2012</v>
      </c>
    </row>
    <row r="370" spans="1:6" ht="15.75">
      <c r="A370" s="22" t="s">
        <v>1441</v>
      </c>
      <c r="B370" s="26">
        <v>40951</v>
      </c>
      <c r="C370" s="27">
        <v>0</v>
      </c>
      <c r="D370" s="25" t="str">
        <f t="shared" si="10"/>
        <v>201206</v>
      </c>
      <c r="E370" s="22" t="str">
        <f t="shared" ca="1" si="11"/>
        <v>201202</v>
      </c>
      <c r="F370" s="22">
        <v>2012</v>
      </c>
    </row>
    <row r="371" spans="1:6" ht="15.75">
      <c r="A371" s="22" t="s">
        <v>1441</v>
      </c>
      <c r="B371" s="26">
        <v>40952</v>
      </c>
      <c r="C371" s="27">
        <v>0</v>
      </c>
      <c r="D371" s="25" t="str">
        <f t="shared" si="10"/>
        <v>201207</v>
      </c>
      <c r="E371" s="22" t="str">
        <f t="shared" ca="1" si="11"/>
        <v>201202</v>
      </c>
      <c r="F371" s="22">
        <v>2012</v>
      </c>
    </row>
    <row r="372" spans="1:6" ht="15.75">
      <c r="A372" s="22" t="s">
        <v>1441</v>
      </c>
      <c r="B372" s="26">
        <v>40953</v>
      </c>
      <c r="C372" s="27">
        <v>0</v>
      </c>
      <c r="D372" s="25" t="str">
        <f t="shared" si="10"/>
        <v>201207</v>
      </c>
      <c r="E372" s="22" t="str">
        <f t="shared" ca="1" si="11"/>
        <v>201202</v>
      </c>
      <c r="F372" s="22">
        <v>2012</v>
      </c>
    </row>
    <row r="373" spans="1:6" ht="15.75">
      <c r="A373" s="22" t="s">
        <v>1441</v>
      </c>
      <c r="B373" s="26">
        <v>40954</v>
      </c>
      <c r="C373" s="27">
        <v>0</v>
      </c>
      <c r="D373" s="25" t="str">
        <f t="shared" si="10"/>
        <v>201207</v>
      </c>
      <c r="E373" s="22" t="str">
        <f t="shared" ca="1" si="11"/>
        <v>201202</v>
      </c>
      <c r="F373" s="22">
        <v>2012</v>
      </c>
    </row>
    <row r="374" spans="1:6" ht="15.75">
      <c r="A374" s="22" t="s">
        <v>1441</v>
      </c>
      <c r="B374" s="26">
        <v>40955</v>
      </c>
      <c r="C374" s="27">
        <v>0</v>
      </c>
      <c r="D374" s="25" t="str">
        <f t="shared" si="10"/>
        <v>201207</v>
      </c>
      <c r="E374" s="22" t="str">
        <f t="shared" ca="1" si="11"/>
        <v>201202</v>
      </c>
      <c r="F374" s="22">
        <v>2012</v>
      </c>
    </row>
    <row r="375" spans="1:6" ht="15.75">
      <c r="A375" s="22" t="s">
        <v>1441</v>
      </c>
      <c r="B375" s="26">
        <v>40956</v>
      </c>
      <c r="C375" s="27">
        <v>0</v>
      </c>
      <c r="D375" s="25" t="str">
        <f t="shared" si="10"/>
        <v>201207</v>
      </c>
      <c r="E375" s="22" t="str">
        <f t="shared" ca="1" si="11"/>
        <v>201202</v>
      </c>
      <c r="F375" s="22">
        <v>2012</v>
      </c>
    </row>
    <row r="376" spans="1:6" ht="15.75">
      <c r="A376" s="22" t="s">
        <v>1441</v>
      </c>
      <c r="B376" s="26">
        <v>40957</v>
      </c>
      <c r="C376" s="27">
        <v>0</v>
      </c>
      <c r="D376" s="25" t="str">
        <f t="shared" si="10"/>
        <v>201207</v>
      </c>
      <c r="E376" s="22" t="str">
        <f t="shared" ca="1" si="11"/>
        <v>201202</v>
      </c>
      <c r="F376" s="22">
        <v>2012</v>
      </c>
    </row>
    <row r="377" spans="1:6" ht="15.75">
      <c r="A377" s="22" t="s">
        <v>1441</v>
      </c>
      <c r="B377" s="26">
        <v>40958</v>
      </c>
      <c r="C377" s="27">
        <v>0</v>
      </c>
      <c r="D377" s="25" t="str">
        <f t="shared" si="10"/>
        <v>201207</v>
      </c>
      <c r="E377" s="22" t="str">
        <f t="shared" ca="1" si="11"/>
        <v>201202</v>
      </c>
      <c r="F377" s="22">
        <v>2012</v>
      </c>
    </row>
    <row r="378" spans="1:6" ht="15.75">
      <c r="A378" s="22" t="s">
        <v>1441</v>
      </c>
      <c r="B378" s="26">
        <v>40959</v>
      </c>
      <c r="C378" s="27">
        <v>0</v>
      </c>
      <c r="D378" s="25" t="str">
        <f t="shared" si="10"/>
        <v>201208</v>
      </c>
      <c r="E378" s="22" t="str">
        <f t="shared" ca="1" si="11"/>
        <v>201202</v>
      </c>
      <c r="F378" s="22">
        <v>2012</v>
      </c>
    </row>
    <row r="379" spans="1:6" ht="15.75">
      <c r="A379" s="22" t="s">
        <v>1441</v>
      </c>
      <c r="B379" s="26">
        <v>40960</v>
      </c>
      <c r="C379" s="27">
        <v>0</v>
      </c>
      <c r="D379" s="25" t="str">
        <f t="shared" si="10"/>
        <v>201208</v>
      </c>
      <c r="E379" s="22" t="str">
        <f t="shared" ca="1" si="11"/>
        <v>201202</v>
      </c>
      <c r="F379" s="22">
        <v>2012</v>
      </c>
    </row>
    <row r="380" spans="1:6" ht="15.75">
      <c r="A380" s="22" t="s">
        <v>1441</v>
      </c>
      <c r="B380" s="26">
        <v>40961</v>
      </c>
      <c r="C380" s="27">
        <v>0</v>
      </c>
      <c r="D380" s="25" t="str">
        <f t="shared" si="10"/>
        <v>201208</v>
      </c>
      <c r="E380" s="22" t="str">
        <f t="shared" ca="1" si="11"/>
        <v>201202</v>
      </c>
      <c r="F380" s="22">
        <v>2012</v>
      </c>
    </row>
    <row r="381" spans="1:6" ht="15.75">
      <c r="A381" s="22" t="s">
        <v>1441</v>
      </c>
      <c r="B381" s="26">
        <v>40962</v>
      </c>
      <c r="C381" s="27">
        <v>0</v>
      </c>
      <c r="D381" s="25" t="str">
        <f t="shared" si="10"/>
        <v>201208</v>
      </c>
      <c r="E381" s="22" t="str">
        <f t="shared" ca="1" si="11"/>
        <v>201202</v>
      </c>
      <c r="F381" s="22">
        <v>2012</v>
      </c>
    </row>
    <row r="382" spans="1:6" ht="15.75">
      <c r="A382" s="22" t="s">
        <v>1441</v>
      </c>
      <c r="B382" s="26">
        <v>40963</v>
      </c>
      <c r="C382" s="27">
        <v>0</v>
      </c>
      <c r="D382" s="25" t="str">
        <f t="shared" si="10"/>
        <v>201208</v>
      </c>
      <c r="E382" s="22" t="str">
        <f t="shared" ca="1" si="11"/>
        <v>201202</v>
      </c>
      <c r="F382" s="22">
        <v>2012</v>
      </c>
    </row>
    <row r="383" spans="1:6" ht="15.75">
      <c r="A383" s="22" t="s">
        <v>1441</v>
      </c>
      <c r="B383" s="26">
        <v>40964</v>
      </c>
      <c r="C383" s="27">
        <v>0</v>
      </c>
      <c r="D383" s="25" t="str">
        <f t="shared" si="10"/>
        <v>201208</v>
      </c>
      <c r="E383" s="22" t="str">
        <f t="shared" ca="1" si="11"/>
        <v>201202</v>
      </c>
      <c r="F383" s="22">
        <v>2012</v>
      </c>
    </row>
    <row r="384" spans="1:6" ht="15.75">
      <c r="A384" s="22" t="s">
        <v>1441</v>
      </c>
      <c r="B384" s="26">
        <v>40965</v>
      </c>
      <c r="C384" s="27">
        <v>0</v>
      </c>
      <c r="D384" s="25" t="str">
        <f t="shared" si="10"/>
        <v>201208</v>
      </c>
      <c r="E384" s="22" t="str">
        <f t="shared" ca="1" si="11"/>
        <v>201202</v>
      </c>
      <c r="F384" s="22">
        <v>2012</v>
      </c>
    </row>
    <row r="385" spans="1:6" ht="15.75">
      <c r="A385" s="22" t="s">
        <v>1441</v>
      </c>
      <c r="B385" s="26">
        <v>40966</v>
      </c>
      <c r="C385" s="27">
        <v>0</v>
      </c>
      <c r="D385" s="25" t="str">
        <f t="shared" si="10"/>
        <v>201209</v>
      </c>
      <c r="E385" s="22" t="str">
        <f t="shared" ca="1" si="11"/>
        <v>201202</v>
      </c>
      <c r="F385" s="22">
        <v>2012</v>
      </c>
    </row>
    <row r="386" spans="1:6" ht="15.75">
      <c r="A386" s="22" t="s">
        <v>1441</v>
      </c>
      <c r="B386" s="26">
        <v>40967</v>
      </c>
      <c r="C386" s="27">
        <v>0</v>
      </c>
      <c r="D386" s="25" t="str">
        <f t="shared" si="10"/>
        <v>201209</v>
      </c>
      <c r="E386" s="22" t="str">
        <f t="shared" ca="1" si="11"/>
        <v>201202</v>
      </c>
      <c r="F386" s="22">
        <v>2012</v>
      </c>
    </row>
    <row r="387" spans="1:6" ht="15.75">
      <c r="A387" s="22" t="s">
        <v>1441</v>
      </c>
      <c r="B387" s="26">
        <v>40968</v>
      </c>
      <c r="C387" s="27">
        <v>0</v>
      </c>
      <c r="D387" s="25" t="str">
        <f t="shared" ref="D387:D450" si="12">CONCATENATE(YEAR(B387-WEEKDAY(B387,3)+3),TEXT(WEEKNUM(B387,21),"00"))</f>
        <v>201209</v>
      </c>
      <c r="E387" s="22" t="str">
        <f t="shared" ref="E387:E450" ca="1" si="13">IF(
  AND(
    YEAR(B387)=YEAR(TODAY())-1,
    MONTH(B387)=MONTH(TODAY()),
    DAY(B387)&gt;DAY($H$2)
  ),
  0,
  CONCATENATE(YEAR(B387),TEXT(MONTH(B387),"00"))
)</f>
        <v>201202</v>
      </c>
      <c r="F387" s="22">
        <v>2012</v>
      </c>
    </row>
    <row r="388" spans="1:6" ht="15.75">
      <c r="A388" s="22" t="s">
        <v>1441</v>
      </c>
      <c r="B388" s="26">
        <v>40969</v>
      </c>
      <c r="C388" s="27">
        <v>0</v>
      </c>
      <c r="D388" s="25" t="str">
        <f t="shared" si="12"/>
        <v>201209</v>
      </c>
      <c r="E388" s="22" t="str">
        <f t="shared" ca="1" si="13"/>
        <v>201203</v>
      </c>
      <c r="F388" s="22">
        <v>2012</v>
      </c>
    </row>
    <row r="389" spans="1:6" ht="15.75">
      <c r="A389" s="22" t="s">
        <v>1441</v>
      </c>
      <c r="B389" s="26">
        <v>40970</v>
      </c>
      <c r="C389" s="27">
        <v>0</v>
      </c>
      <c r="D389" s="25" t="str">
        <f t="shared" si="12"/>
        <v>201209</v>
      </c>
      <c r="E389" s="22" t="str">
        <f t="shared" ca="1" si="13"/>
        <v>201203</v>
      </c>
      <c r="F389" s="22">
        <v>2012</v>
      </c>
    </row>
    <row r="390" spans="1:6" ht="15.75">
      <c r="A390" s="22" t="s">
        <v>1441</v>
      </c>
      <c r="B390" s="26">
        <v>40971</v>
      </c>
      <c r="C390" s="27">
        <v>0</v>
      </c>
      <c r="D390" s="25" t="str">
        <f t="shared" si="12"/>
        <v>201209</v>
      </c>
      <c r="E390" s="22" t="str">
        <f t="shared" ca="1" si="13"/>
        <v>201203</v>
      </c>
      <c r="F390" s="22">
        <v>2012</v>
      </c>
    </row>
    <row r="391" spans="1:6" ht="15.75">
      <c r="A391" s="22" t="s">
        <v>1441</v>
      </c>
      <c r="B391" s="26">
        <v>40972</v>
      </c>
      <c r="C391" s="27">
        <v>0</v>
      </c>
      <c r="D391" s="25" t="str">
        <f t="shared" si="12"/>
        <v>201209</v>
      </c>
      <c r="E391" s="22" t="str">
        <f t="shared" ca="1" si="13"/>
        <v>201203</v>
      </c>
      <c r="F391" s="22">
        <v>2012</v>
      </c>
    </row>
    <row r="392" spans="1:6" ht="15.75">
      <c r="A392" s="22" t="s">
        <v>1441</v>
      </c>
      <c r="B392" s="26">
        <v>40973</v>
      </c>
      <c r="C392" s="27">
        <v>0</v>
      </c>
      <c r="D392" s="25" t="str">
        <f t="shared" si="12"/>
        <v>201210</v>
      </c>
      <c r="E392" s="22" t="str">
        <f t="shared" ca="1" si="13"/>
        <v>201203</v>
      </c>
      <c r="F392" s="22">
        <v>2012</v>
      </c>
    </row>
    <row r="393" spans="1:6" ht="15.75">
      <c r="A393" s="22" t="s">
        <v>1441</v>
      </c>
      <c r="B393" s="26">
        <v>40974</v>
      </c>
      <c r="C393" s="27">
        <v>0</v>
      </c>
      <c r="D393" s="25" t="str">
        <f t="shared" si="12"/>
        <v>201210</v>
      </c>
      <c r="E393" s="22" t="str">
        <f t="shared" ca="1" si="13"/>
        <v>201203</v>
      </c>
      <c r="F393" s="22">
        <v>2012</v>
      </c>
    </row>
    <row r="394" spans="1:6" ht="15.75">
      <c r="A394" s="22" t="s">
        <v>1441</v>
      </c>
      <c r="B394" s="26">
        <v>40975</v>
      </c>
      <c r="C394" s="27">
        <v>0</v>
      </c>
      <c r="D394" s="25" t="str">
        <f t="shared" si="12"/>
        <v>201210</v>
      </c>
      <c r="E394" s="22" t="str">
        <f t="shared" ca="1" si="13"/>
        <v>201203</v>
      </c>
      <c r="F394" s="22">
        <v>2012</v>
      </c>
    </row>
    <row r="395" spans="1:6" ht="15.75">
      <c r="A395" s="22" t="s">
        <v>1441</v>
      </c>
      <c r="B395" s="26">
        <v>40976</v>
      </c>
      <c r="C395" s="27">
        <v>0</v>
      </c>
      <c r="D395" s="25" t="str">
        <f t="shared" si="12"/>
        <v>201210</v>
      </c>
      <c r="E395" s="22" t="str">
        <f t="shared" ca="1" si="13"/>
        <v>201203</v>
      </c>
      <c r="F395" s="22">
        <v>2012</v>
      </c>
    </row>
    <row r="396" spans="1:6" ht="15.75">
      <c r="A396" s="22" t="s">
        <v>1441</v>
      </c>
      <c r="B396" s="26">
        <v>40977</v>
      </c>
      <c r="C396" s="27">
        <v>0</v>
      </c>
      <c r="D396" s="25" t="str">
        <f t="shared" si="12"/>
        <v>201210</v>
      </c>
      <c r="E396" s="22" t="str">
        <f t="shared" ca="1" si="13"/>
        <v>201203</v>
      </c>
      <c r="F396" s="22">
        <v>2012</v>
      </c>
    </row>
    <row r="397" spans="1:6" ht="15.75">
      <c r="A397" s="22" t="s">
        <v>1441</v>
      </c>
      <c r="B397" s="26">
        <v>40978</v>
      </c>
      <c r="C397" s="27">
        <v>0</v>
      </c>
      <c r="D397" s="25" t="str">
        <f t="shared" si="12"/>
        <v>201210</v>
      </c>
      <c r="E397" s="22" t="str">
        <f t="shared" ca="1" si="13"/>
        <v>201203</v>
      </c>
      <c r="F397" s="22">
        <v>2012</v>
      </c>
    </row>
    <row r="398" spans="1:6" ht="15.75">
      <c r="A398" s="22" t="s">
        <v>1441</v>
      </c>
      <c r="B398" s="26">
        <v>40979</v>
      </c>
      <c r="C398" s="27">
        <v>0</v>
      </c>
      <c r="D398" s="25" t="str">
        <f t="shared" si="12"/>
        <v>201210</v>
      </c>
      <c r="E398" s="22" t="str">
        <f t="shared" ca="1" si="13"/>
        <v>201203</v>
      </c>
      <c r="F398" s="22">
        <v>2012</v>
      </c>
    </row>
    <row r="399" spans="1:6" ht="15.75">
      <c r="A399" s="22" t="s">
        <v>1441</v>
      </c>
      <c r="B399" s="26">
        <v>40980</v>
      </c>
      <c r="C399" s="27">
        <v>0</v>
      </c>
      <c r="D399" s="25" t="str">
        <f t="shared" si="12"/>
        <v>201211</v>
      </c>
      <c r="E399" s="22" t="str">
        <f t="shared" ca="1" si="13"/>
        <v>201203</v>
      </c>
      <c r="F399" s="22">
        <v>2012</v>
      </c>
    </row>
    <row r="400" spans="1:6" ht="15.75">
      <c r="A400" s="22" t="s">
        <v>1441</v>
      </c>
      <c r="B400" s="26">
        <v>40981</v>
      </c>
      <c r="C400" s="27">
        <v>0</v>
      </c>
      <c r="D400" s="25" t="str">
        <f t="shared" si="12"/>
        <v>201211</v>
      </c>
      <c r="E400" s="22" t="str">
        <f t="shared" ca="1" si="13"/>
        <v>201203</v>
      </c>
      <c r="F400" s="22">
        <v>2012</v>
      </c>
    </row>
    <row r="401" spans="1:6" ht="15.75">
      <c r="A401" s="22" t="s">
        <v>1441</v>
      </c>
      <c r="B401" s="26">
        <v>40982</v>
      </c>
      <c r="C401" s="27">
        <v>0</v>
      </c>
      <c r="D401" s="25" t="str">
        <f t="shared" si="12"/>
        <v>201211</v>
      </c>
      <c r="E401" s="22" t="str">
        <f t="shared" ca="1" si="13"/>
        <v>201203</v>
      </c>
      <c r="F401" s="22">
        <v>2012</v>
      </c>
    </row>
    <row r="402" spans="1:6" ht="15.75">
      <c r="A402" s="22" t="s">
        <v>1441</v>
      </c>
      <c r="B402" s="26">
        <v>40983</v>
      </c>
      <c r="C402" s="27">
        <v>0</v>
      </c>
      <c r="D402" s="25" t="str">
        <f t="shared" si="12"/>
        <v>201211</v>
      </c>
      <c r="E402" s="22" t="str">
        <f t="shared" ca="1" si="13"/>
        <v>201203</v>
      </c>
      <c r="F402" s="22">
        <v>2012</v>
      </c>
    </row>
    <row r="403" spans="1:6" ht="15.75">
      <c r="A403" s="22" t="s">
        <v>1441</v>
      </c>
      <c r="B403" s="26">
        <v>40984</v>
      </c>
      <c r="C403" s="27">
        <v>0</v>
      </c>
      <c r="D403" s="25" t="str">
        <f t="shared" si="12"/>
        <v>201211</v>
      </c>
      <c r="E403" s="22" t="str">
        <f t="shared" ca="1" si="13"/>
        <v>201203</v>
      </c>
      <c r="F403" s="22">
        <v>2012</v>
      </c>
    </row>
    <row r="404" spans="1:6" ht="15.75">
      <c r="A404" s="22" t="s">
        <v>1441</v>
      </c>
      <c r="B404" s="26">
        <v>40985</v>
      </c>
      <c r="C404" s="27">
        <v>0</v>
      </c>
      <c r="D404" s="25" t="str">
        <f t="shared" si="12"/>
        <v>201211</v>
      </c>
      <c r="E404" s="22" t="str">
        <f t="shared" ca="1" si="13"/>
        <v>201203</v>
      </c>
      <c r="F404" s="22">
        <v>2012</v>
      </c>
    </row>
    <row r="405" spans="1:6" ht="15.75">
      <c r="A405" s="22" t="s">
        <v>1441</v>
      </c>
      <c r="B405" s="26">
        <v>40986</v>
      </c>
      <c r="C405" s="27">
        <v>0</v>
      </c>
      <c r="D405" s="25" t="str">
        <f t="shared" si="12"/>
        <v>201211</v>
      </c>
      <c r="E405" s="22" t="str">
        <f t="shared" ca="1" si="13"/>
        <v>201203</v>
      </c>
      <c r="F405" s="22">
        <v>2012</v>
      </c>
    </row>
    <row r="406" spans="1:6" ht="15.75">
      <c r="A406" s="22" t="s">
        <v>1441</v>
      </c>
      <c r="B406" s="26">
        <v>40987</v>
      </c>
      <c r="C406" s="27">
        <v>0</v>
      </c>
      <c r="D406" s="25" t="str">
        <f t="shared" si="12"/>
        <v>201212</v>
      </c>
      <c r="E406" s="22" t="str">
        <f t="shared" ca="1" si="13"/>
        <v>201203</v>
      </c>
      <c r="F406" s="22">
        <v>2012</v>
      </c>
    </row>
    <row r="407" spans="1:6" ht="15.75">
      <c r="A407" s="22" t="s">
        <v>1441</v>
      </c>
      <c r="B407" s="26">
        <v>40988</v>
      </c>
      <c r="C407" s="27">
        <v>0</v>
      </c>
      <c r="D407" s="25" t="str">
        <f t="shared" si="12"/>
        <v>201212</v>
      </c>
      <c r="E407" s="22" t="str">
        <f t="shared" ca="1" si="13"/>
        <v>201203</v>
      </c>
      <c r="F407" s="22">
        <v>2012</v>
      </c>
    </row>
    <row r="408" spans="1:6" ht="15.75">
      <c r="A408" s="22" t="s">
        <v>1441</v>
      </c>
      <c r="B408" s="26">
        <v>40989</v>
      </c>
      <c r="C408" s="27">
        <v>0</v>
      </c>
      <c r="D408" s="25" t="str">
        <f t="shared" si="12"/>
        <v>201212</v>
      </c>
      <c r="E408" s="22" t="str">
        <f t="shared" ca="1" si="13"/>
        <v>201203</v>
      </c>
      <c r="F408" s="22">
        <v>2012</v>
      </c>
    </row>
    <row r="409" spans="1:6" ht="15.75">
      <c r="A409" s="22" t="s">
        <v>1441</v>
      </c>
      <c r="B409" s="26">
        <v>40990</v>
      </c>
      <c r="C409" s="27">
        <v>0</v>
      </c>
      <c r="D409" s="25" t="str">
        <f t="shared" si="12"/>
        <v>201212</v>
      </c>
      <c r="E409" s="22" t="str">
        <f t="shared" ca="1" si="13"/>
        <v>201203</v>
      </c>
      <c r="F409" s="22">
        <v>2012</v>
      </c>
    </row>
    <row r="410" spans="1:6" ht="15.75">
      <c r="A410" s="22" t="s">
        <v>1441</v>
      </c>
      <c r="B410" s="26">
        <v>40991</v>
      </c>
      <c r="C410" s="27">
        <v>0</v>
      </c>
      <c r="D410" s="25" t="str">
        <f t="shared" si="12"/>
        <v>201212</v>
      </c>
      <c r="E410" s="22" t="str">
        <f t="shared" ca="1" si="13"/>
        <v>201203</v>
      </c>
      <c r="F410" s="22">
        <v>2012</v>
      </c>
    </row>
    <row r="411" spans="1:6" ht="15.75">
      <c r="A411" s="22" t="s">
        <v>1441</v>
      </c>
      <c r="B411" s="26">
        <v>40992</v>
      </c>
      <c r="C411" s="27">
        <v>0</v>
      </c>
      <c r="D411" s="25" t="str">
        <f t="shared" si="12"/>
        <v>201212</v>
      </c>
      <c r="E411" s="22" t="str">
        <f t="shared" ca="1" si="13"/>
        <v>201203</v>
      </c>
      <c r="F411" s="22">
        <v>2012</v>
      </c>
    </row>
    <row r="412" spans="1:6" ht="15.75">
      <c r="A412" s="22" t="s">
        <v>1441</v>
      </c>
      <c r="B412" s="26">
        <v>40993</v>
      </c>
      <c r="C412" s="27">
        <v>0</v>
      </c>
      <c r="D412" s="25" t="str">
        <f t="shared" si="12"/>
        <v>201212</v>
      </c>
      <c r="E412" s="22" t="str">
        <f t="shared" ca="1" si="13"/>
        <v>201203</v>
      </c>
      <c r="F412" s="22">
        <v>2012</v>
      </c>
    </row>
    <row r="413" spans="1:6" ht="15.75">
      <c r="A413" s="22" t="s">
        <v>1441</v>
      </c>
      <c r="B413" s="26">
        <v>40994</v>
      </c>
      <c r="C413" s="27">
        <v>0</v>
      </c>
      <c r="D413" s="25" t="str">
        <f t="shared" si="12"/>
        <v>201213</v>
      </c>
      <c r="E413" s="22" t="str">
        <f t="shared" ca="1" si="13"/>
        <v>201203</v>
      </c>
      <c r="F413" s="22">
        <v>2012</v>
      </c>
    </row>
    <row r="414" spans="1:6" ht="15.75">
      <c r="A414" s="22" t="s">
        <v>1441</v>
      </c>
      <c r="B414" s="26">
        <v>40995</v>
      </c>
      <c r="C414" s="27">
        <v>0</v>
      </c>
      <c r="D414" s="25" t="str">
        <f t="shared" si="12"/>
        <v>201213</v>
      </c>
      <c r="E414" s="22" t="str">
        <f t="shared" ca="1" si="13"/>
        <v>201203</v>
      </c>
      <c r="F414" s="22">
        <v>2012</v>
      </c>
    </row>
    <row r="415" spans="1:6" ht="15.75">
      <c r="A415" s="22" t="s">
        <v>1441</v>
      </c>
      <c r="B415" s="26">
        <v>40996</v>
      </c>
      <c r="C415" s="27">
        <v>0</v>
      </c>
      <c r="D415" s="25" t="str">
        <f t="shared" si="12"/>
        <v>201213</v>
      </c>
      <c r="E415" s="22" t="str">
        <f t="shared" ca="1" si="13"/>
        <v>201203</v>
      </c>
      <c r="F415" s="22">
        <v>2012</v>
      </c>
    </row>
    <row r="416" spans="1:6" ht="15.75">
      <c r="A416" s="22" t="s">
        <v>1441</v>
      </c>
      <c r="B416" s="26">
        <v>40997</v>
      </c>
      <c r="C416" s="27">
        <v>0</v>
      </c>
      <c r="D416" s="25" t="str">
        <f t="shared" si="12"/>
        <v>201213</v>
      </c>
      <c r="E416" s="22" t="str">
        <f t="shared" ca="1" si="13"/>
        <v>201203</v>
      </c>
      <c r="F416" s="22">
        <v>2012</v>
      </c>
    </row>
    <row r="417" spans="1:6" ht="15.75">
      <c r="A417" s="22" t="s">
        <v>1441</v>
      </c>
      <c r="B417" s="26">
        <v>40998</v>
      </c>
      <c r="C417" s="27">
        <v>0</v>
      </c>
      <c r="D417" s="25" t="str">
        <f t="shared" si="12"/>
        <v>201213</v>
      </c>
      <c r="E417" s="22" t="str">
        <f t="shared" ca="1" si="13"/>
        <v>201203</v>
      </c>
      <c r="F417" s="22">
        <v>2012</v>
      </c>
    </row>
    <row r="418" spans="1:6" ht="15.75">
      <c r="A418" s="22" t="s">
        <v>1441</v>
      </c>
      <c r="B418" s="26">
        <v>40999</v>
      </c>
      <c r="C418" s="27">
        <v>0</v>
      </c>
      <c r="D418" s="25" t="str">
        <f t="shared" si="12"/>
        <v>201213</v>
      </c>
      <c r="E418" s="22" t="str">
        <f t="shared" ca="1" si="13"/>
        <v>201203</v>
      </c>
      <c r="F418" s="22">
        <v>2012</v>
      </c>
    </row>
    <row r="419" spans="1:6" ht="15.75">
      <c r="A419" s="22" t="s">
        <v>1441</v>
      </c>
      <c r="B419" s="26">
        <v>41000</v>
      </c>
      <c r="C419" s="27">
        <v>0</v>
      </c>
      <c r="D419" s="25" t="str">
        <f t="shared" si="12"/>
        <v>201213</v>
      </c>
      <c r="E419" s="22" t="str">
        <f t="shared" ca="1" si="13"/>
        <v>201204</v>
      </c>
      <c r="F419" s="22">
        <v>2012</v>
      </c>
    </row>
    <row r="420" spans="1:6" ht="15.75">
      <c r="A420" s="22" t="s">
        <v>1441</v>
      </c>
      <c r="B420" s="26">
        <v>41001</v>
      </c>
      <c r="C420" s="27">
        <v>0</v>
      </c>
      <c r="D420" s="25" t="str">
        <f t="shared" si="12"/>
        <v>201214</v>
      </c>
      <c r="E420" s="22" t="str">
        <f t="shared" ca="1" si="13"/>
        <v>201204</v>
      </c>
      <c r="F420" s="22">
        <v>2012</v>
      </c>
    </row>
    <row r="421" spans="1:6" ht="15.75">
      <c r="A421" s="22" t="s">
        <v>1441</v>
      </c>
      <c r="B421" s="26">
        <v>41002</v>
      </c>
      <c r="C421" s="27">
        <v>0</v>
      </c>
      <c r="D421" s="25" t="str">
        <f t="shared" si="12"/>
        <v>201214</v>
      </c>
      <c r="E421" s="22" t="str">
        <f t="shared" ca="1" si="13"/>
        <v>201204</v>
      </c>
      <c r="F421" s="22">
        <v>2012</v>
      </c>
    </row>
    <row r="422" spans="1:6" ht="15.75">
      <c r="A422" s="22" t="s">
        <v>1441</v>
      </c>
      <c r="B422" s="26">
        <v>41003</v>
      </c>
      <c r="C422" s="27">
        <v>0</v>
      </c>
      <c r="D422" s="25" t="str">
        <f t="shared" si="12"/>
        <v>201214</v>
      </c>
      <c r="E422" s="22" t="str">
        <f t="shared" ca="1" si="13"/>
        <v>201204</v>
      </c>
      <c r="F422" s="22">
        <v>2012</v>
      </c>
    </row>
    <row r="423" spans="1:6" ht="15.75">
      <c r="A423" s="22" t="s">
        <v>1441</v>
      </c>
      <c r="B423" s="26">
        <v>41004</v>
      </c>
      <c r="C423" s="27">
        <v>0</v>
      </c>
      <c r="D423" s="25" t="str">
        <f t="shared" si="12"/>
        <v>201214</v>
      </c>
      <c r="E423" s="22" t="str">
        <f t="shared" ca="1" si="13"/>
        <v>201204</v>
      </c>
      <c r="F423" s="22">
        <v>2012</v>
      </c>
    </row>
    <row r="424" spans="1:6" ht="15.75">
      <c r="A424" s="22" t="s">
        <v>1441</v>
      </c>
      <c r="B424" s="26">
        <v>41005</v>
      </c>
      <c r="C424" s="27">
        <v>0</v>
      </c>
      <c r="D424" s="25" t="str">
        <f t="shared" si="12"/>
        <v>201214</v>
      </c>
      <c r="E424" s="22" t="str">
        <f t="shared" ca="1" si="13"/>
        <v>201204</v>
      </c>
      <c r="F424" s="22">
        <v>2012</v>
      </c>
    </row>
    <row r="425" spans="1:6" ht="15.75">
      <c r="A425" s="22" t="s">
        <v>1441</v>
      </c>
      <c r="B425" s="26">
        <v>41006</v>
      </c>
      <c r="C425" s="27">
        <v>0</v>
      </c>
      <c r="D425" s="25" t="str">
        <f t="shared" si="12"/>
        <v>201214</v>
      </c>
      <c r="E425" s="22" t="str">
        <f t="shared" ca="1" si="13"/>
        <v>201204</v>
      </c>
      <c r="F425" s="22">
        <v>2012</v>
      </c>
    </row>
    <row r="426" spans="1:6" ht="15.75">
      <c r="A426" s="22" t="s">
        <v>1441</v>
      </c>
      <c r="B426" s="26">
        <v>41007</v>
      </c>
      <c r="C426" s="27">
        <v>0</v>
      </c>
      <c r="D426" s="25" t="str">
        <f t="shared" si="12"/>
        <v>201214</v>
      </c>
      <c r="E426" s="22" t="str">
        <f t="shared" ca="1" si="13"/>
        <v>201204</v>
      </c>
      <c r="F426" s="22">
        <v>2012</v>
      </c>
    </row>
    <row r="427" spans="1:6" ht="15.75">
      <c r="A427" s="22" t="s">
        <v>1441</v>
      </c>
      <c r="B427" s="26">
        <v>41008</v>
      </c>
      <c r="C427" s="27">
        <v>0</v>
      </c>
      <c r="D427" s="25" t="str">
        <f t="shared" si="12"/>
        <v>201215</v>
      </c>
      <c r="E427" s="22" t="str">
        <f t="shared" ca="1" si="13"/>
        <v>201204</v>
      </c>
      <c r="F427" s="22">
        <v>2012</v>
      </c>
    </row>
    <row r="428" spans="1:6" ht="15.75">
      <c r="A428" s="22" t="s">
        <v>1441</v>
      </c>
      <c r="B428" s="26">
        <v>41009</v>
      </c>
      <c r="C428" s="27">
        <v>0</v>
      </c>
      <c r="D428" s="25" t="str">
        <f t="shared" si="12"/>
        <v>201215</v>
      </c>
      <c r="E428" s="22" t="str">
        <f t="shared" ca="1" si="13"/>
        <v>201204</v>
      </c>
      <c r="F428" s="22">
        <v>2012</v>
      </c>
    </row>
    <row r="429" spans="1:6" ht="15.75">
      <c r="A429" s="22" t="s">
        <v>1441</v>
      </c>
      <c r="B429" s="26">
        <v>41010</v>
      </c>
      <c r="C429" s="27">
        <v>0</v>
      </c>
      <c r="D429" s="25" t="str">
        <f t="shared" si="12"/>
        <v>201215</v>
      </c>
      <c r="E429" s="22" t="str">
        <f t="shared" ca="1" si="13"/>
        <v>201204</v>
      </c>
      <c r="F429" s="22">
        <v>2012</v>
      </c>
    </row>
    <row r="430" spans="1:6" ht="15.75">
      <c r="A430" s="22" t="s">
        <v>1441</v>
      </c>
      <c r="B430" s="26">
        <v>41011</v>
      </c>
      <c r="C430" s="27">
        <v>0</v>
      </c>
      <c r="D430" s="25" t="str">
        <f t="shared" si="12"/>
        <v>201215</v>
      </c>
      <c r="E430" s="22" t="str">
        <f t="shared" ca="1" si="13"/>
        <v>201204</v>
      </c>
      <c r="F430" s="22">
        <v>2012</v>
      </c>
    </row>
    <row r="431" spans="1:6" ht="15.75">
      <c r="A431" s="22" t="s">
        <v>1441</v>
      </c>
      <c r="B431" s="26">
        <v>41012</v>
      </c>
      <c r="C431" s="27">
        <v>0</v>
      </c>
      <c r="D431" s="25" t="str">
        <f t="shared" si="12"/>
        <v>201215</v>
      </c>
      <c r="E431" s="22" t="str">
        <f t="shared" ca="1" si="13"/>
        <v>201204</v>
      </c>
      <c r="F431" s="22">
        <v>2012</v>
      </c>
    </row>
    <row r="432" spans="1:6" ht="15.75">
      <c r="A432" s="22" t="s">
        <v>1441</v>
      </c>
      <c r="B432" s="26">
        <v>41013</v>
      </c>
      <c r="C432" s="27">
        <v>0</v>
      </c>
      <c r="D432" s="25" t="str">
        <f t="shared" si="12"/>
        <v>201215</v>
      </c>
      <c r="E432" s="22" t="str">
        <f t="shared" ca="1" si="13"/>
        <v>201204</v>
      </c>
      <c r="F432" s="22">
        <v>2012</v>
      </c>
    </row>
    <row r="433" spans="1:6" ht="15.75">
      <c r="A433" s="22" t="s">
        <v>1441</v>
      </c>
      <c r="B433" s="26">
        <v>41014</v>
      </c>
      <c r="C433" s="27">
        <v>0</v>
      </c>
      <c r="D433" s="25" t="str">
        <f t="shared" si="12"/>
        <v>201215</v>
      </c>
      <c r="E433" s="22" t="str">
        <f t="shared" ca="1" si="13"/>
        <v>201204</v>
      </c>
      <c r="F433" s="22">
        <v>2012</v>
      </c>
    </row>
    <row r="434" spans="1:6" ht="15.75">
      <c r="A434" s="22" t="s">
        <v>1441</v>
      </c>
      <c r="B434" s="26">
        <v>41015</v>
      </c>
      <c r="C434" s="27">
        <v>0</v>
      </c>
      <c r="D434" s="25" t="str">
        <f t="shared" si="12"/>
        <v>201216</v>
      </c>
      <c r="E434" s="22" t="str">
        <f t="shared" ca="1" si="13"/>
        <v>201204</v>
      </c>
      <c r="F434" s="22">
        <v>2012</v>
      </c>
    </row>
    <row r="435" spans="1:6" ht="15.75">
      <c r="A435" s="22" t="s">
        <v>1441</v>
      </c>
      <c r="B435" s="26">
        <v>41016</v>
      </c>
      <c r="C435" s="27">
        <v>0</v>
      </c>
      <c r="D435" s="25" t="str">
        <f t="shared" si="12"/>
        <v>201216</v>
      </c>
      <c r="E435" s="22" t="str">
        <f t="shared" ca="1" si="13"/>
        <v>201204</v>
      </c>
      <c r="F435" s="22">
        <v>2012</v>
      </c>
    </row>
    <row r="436" spans="1:6" ht="15.75">
      <c r="A436" s="22" t="s">
        <v>1441</v>
      </c>
      <c r="B436" s="26">
        <v>41017</v>
      </c>
      <c r="C436" s="27">
        <v>0</v>
      </c>
      <c r="D436" s="25" t="str">
        <f t="shared" si="12"/>
        <v>201216</v>
      </c>
      <c r="E436" s="22" t="str">
        <f t="shared" ca="1" si="13"/>
        <v>201204</v>
      </c>
      <c r="F436" s="22">
        <v>2012</v>
      </c>
    </row>
    <row r="437" spans="1:6" ht="15.75">
      <c r="A437" s="22" t="s">
        <v>1441</v>
      </c>
      <c r="B437" s="26">
        <v>41018</v>
      </c>
      <c r="C437" s="27">
        <v>0</v>
      </c>
      <c r="D437" s="25" t="str">
        <f t="shared" si="12"/>
        <v>201216</v>
      </c>
      <c r="E437" s="22" t="str">
        <f t="shared" ca="1" si="13"/>
        <v>201204</v>
      </c>
      <c r="F437" s="22">
        <v>2012</v>
      </c>
    </row>
    <row r="438" spans="1:6" ht="15.75">
      <c r="A438" s="22" t="s">
        <v>1441</v>
      </c>
      <c r="B438" s="26">
        <v>41019</v>
      </c>
      <c r="C438" s="27">
        <v>0</v>
      </c>
      <c r="D438" s="25" t="str">
        <f t="shared" si="12"/>
        <v>201216</v>
      </c>
      <c r="E438" s="22" t="str">
        <f t="shared" ca="1" si="13"/>
        <v>201204</v>
      </c>
      <c r="F438" s="22">
        <v>2012</v>
      </c>
    </row>
    <row r="439" spans="1:6" ht="15.75">
      <c r="A439" s="22" t="s">
        <v>1441</v>
      </c>
      <c r="B439" s="26">
        <v>41020</v>
      </c>
      <c r="C439" s="27">
        <v>0</v>
      </c>
      <c r="D439" s="25" t="str">
        <f t="shared" si="12"/>
        <v>201216</v>
      </c>
      <c r="E439" s="22" t="str">
        <f t="shared" ca="1" si="13"/>
        <v>201204</v>
      </c>
      <c r="F439" s="22">
        <v>2012</v>
      </c>
    </row>
    <row r="440" spans="1:6" ht="15.75">
      <c r="A440" s="22" t="s">
        <v>1441</v>
      </c>
      <c r="B440" s="26">
        <v>41021</v>
      </c>
      <c r="C440" s="27">
        <v>0</v>
      </c>
      <c r="D440" s="25" t="str">
        <f t="shared" si="12"/>
        <v>201216</v>
      </c>
      <c r="E440" s="22" t="str">
        <f t="shared" ca="1" si="13"/>
        <v>201204</v>
      </c>
      <c r="F440" s="22">
        <v>2012</v>
      </c>
    </row>
    <row r="441" spans="1:6" ht="15.75">
      <c r="A441" s="22" t="s">
        <v>1441</v>
      </c>
      <c r="B441" s="26">
        <v>41022</v>
      </c>
      <c r="C441" s="27">
        <v>0</v>
      </c>
      <c r="D441" s="25" t="str">
        <f t="shared" si="12"/>
        <v>201217</v>
      </c>
      <c r="E441" s="22" t="str">
        <f t="shared" ca="1" si="13"/>
        <v>201204</v>
      </c>
      <c r="F441" s="22">
        <v>2012</v>
      </c>
    </row>
    <row r="442" spans="1:6" ht="15.75">
      <c r="A442" s="22" t="s">
        <v>1441</v>
      </c>
      <c r="B442" s="26">
        <v>41023</v>
      </c>
      <c r="C442" s="27">
        <v>0</v>
      </c>
      <c r="D442" s="25" t="str">
        <f t="shared" si="12"/>
        <v>201217</v>
      </c>
      <c r="E442" s="22" t="str">
        <f t="shared" ca="1" si="13"/>
        <v>201204</v>
      </c>
      <c r="F442" s="22">
        <v>2012</v>
      </c>
    </row>
    <row r="443" spans="1:6" ht="15.75">
      <c r="A443" s="22" t="s">
        <v>1441</v>
      </c>
      <c r="B443" s="26">
        <v>41024</v>
      </c>
      <c r="C443" s="27">
        <v>0</v>
      </c>
      <c r="D443" s="25" t="str">
        <f t="shared" si="12"/>
        <v>201217</v>
      </c>
      <c r="E443" s="22" t="str">
        <f t="shared" ca="1" si="13"/>
        <v>201204</v>
      </c>
      <c r="F443" s="22">
        <v>2012</v>
      </c>
    </row>
    <row r="444" spans="1:6" ht="15.75">
      <c r="A444" s="22" t="s">
        <v>1441</v>
      </c>
      <c r="B444" s="26">
        <v>41025</v>
      </c>
      <c r="C444" s="27">
        <v>0</v>
      </c>
      <c r="D444" s="25" t="str">
        <f t="shared" si="12"/>
        <v>201217</v>
      </c>
      <c r="E444" s="22" t="str">
        <f t="shared" ca="1" si="13"/>
        <v>201204</v>
      </c>
      <c r="F444" s="22">
        <v>2012</v>
      </c>
    </row>
    <row r="445" spans="1:6" ht="15.75">
      <c r="A445" s="22" t="s">
        <v>1441</v>
      </c>
      <c r="B445" s="26">
        <v>41026</v>
      </c>
      <c r="C445" s="27">
        <v>0</v>
      </c>
      <c r="D445" s="25" t="str">
        <f t="shared" si="12"/>
        <v>201217</v>
      </c>
      <c r="E445" s="22" t="str">
        <f t="shared" ca="1" si="13"/>
        <v>201204</v>
      </c>
      <c r="F445" s="22">
        <v>2012</v>
      </c>
    </row>
    <row r="446" spans="1:6" ht="15.75">
      <c r="A446" s="22" t="s">
        <v>1441</v>
      </c>
      <c r="B446" s="26">
        <v>41027</v>
      </c>
      <c r="C446" s="27">
        <v>0</v>
      </c>
      <c r="D446" s="25" t="str">
        <f t="shared" si="12"/>
        <v>201217</v>
      </c>
      <c r="E446" s="22" t="str">
        <f t="shared" ca="1" si="13"/>
        <v>201204</v>
      </c>
      <c r="F446" s="22">
        <v>2012</v>
      </c>
    </row>
    <row r="447" spans="1:6" ht="15.75">
      <c r="A447" s="22" t="s">
        <v>1441</v>
      </c>
      <c r="B447" s="26">
        <v>41028</v>
      </c>
      <c r="C447" s="27">
        <v>0</v>
      </c>
      <c r="D447" s="25" t="str">
        <f t="shared" si="12"/>
        <v>201217</v>
      </c>
      <c r="E447" s="22" t="str">
        <f t="shared" ca="1" si="13"/>
        <v>201204</v>
      </c>
      <c r="F447" s="22">
        <v>2012</v>
      </c>
    </row>
    <row r="448" spans="1:6" ht="15.75">
      <c r="A448" s="22" t="s">
        <v>1441</v>
      </c>
      <c r="B448" s="26">
        <v>41029</v>
      </c>
      <c r="C448" s="27">
        <v>0</v>
      </c>
      <c r="D448" s="25" t="str">
        <f t="shared" si="12"/>
        <v>201218</v>
      </c>
      <c r="E448" s="22" t="str">
        <f t="shared" ca="1" si="13"/>
        <v>201204</v>
      </c>
      <c r="F448" s="22">
        <v>2012</v>
      </c>
    </row>
    <row r="449" spans="1:6" ht="15.75">
      <c r="A449" s="22" t="s">
        <v>1441</v>
      </c>
      <c r="B449" s="26">
        <v>41030</v>
      </c>
      <c r="C449" s="27">
        <v>0</v>
      </c>
      <c r="D449" s="25" t="str">
        <f t="shared" si="12"/>
        <v>201218</v>
      </c>
      <c r="E449" s="22" t="str">
        <f t="shared" ca="1" si="13"/>
        <v>201205</v>
      </c>
      <c r="F449" s="22">
        <v>2012</v>
      </c>
    </row>
    <row r="450" spans="1:6" ht="15.75">
      <c r="A450" s="22" t="s">
        <v>1441</v>
      </c>
      <c r="B450" s="26">
        <v>41031</v>
      </c>
      <c r="C450" s="27">
        <v>0</v>
      </c>
      <c r="D450" s="25" t="str">
        <f t="shared" si="12"/>
        <v>201218</v>
      </c>
      <c r="E450" s="22" t="str">
        <f t="shared" ca="1" si="13"/>
        <v>201205</v>
      </c>
      <c r="F450" s="22">
        <v>2012</v>
      </c>
    </row>
    <row r="451" spans="1:6" ht="15.75">
      <c r="A451" s="22" t="s">
        <v>1441</v>
      </c>
      <c r="B451" s="26">
        <v>41032</v>
      </c>
      <c r="C451" s="27">
        <v>0</v>
      </c>
      <c r="D451" s="25" t="str">
        <f t="shared" ref="D451:D514" si="14">CONCATENATE(YEAR(B451-WEEKDAY(B451,3)+3),TEXT(WEEKNUM(B451,21),"00"))</f>
        <v>201218</v>
      </c>
      <c r="E451" s="22" t="str">
        <f t="shared" ref="E451:E514" ca="1" si="15">IF(
  AND(
    YEAR(B451)=YEAR(TODAY())-1,
    MONTH(B451)=MONTH(TODAY()),
    DAY(B451)&gt;DAY($H$2)
  ),
  0,
  CONCATENATE(YEAR(B451),TEXT(MONTH(B451),"00"))
)</f>
        <v>201205</v>
      </c>
      <c r="F451" s="22">
        <v>2012</v>
      </c>
    </row>
    <row r="452" spans="1:6" ht="15.75">
      <c r="A452" s="22" t="s">
        <v>1441</v>
      </c>
      <c r="B452" s="26">
        <v>41033</v>
      </c>
      <c r="C452" s="27">
        <v>0</v>
      </c>
      <c r="D452" s="25" t="str">
        <f t="shared" si="14"/>
        <v>201218</v>
      </c>
      <c r="E452" s="22" t="str">
        <f t="shared" ca="1" si="15"/>
        <v>201205</v>
      </c>
      <c r="F452" s="22">
        <v>2012</v>
      </c>
    </row>
    <row r="453" spans="1:6" ht="15.75">
      <c r="A453" s="22" t="s">
        <v>1441</v>
      </c>
      <c r="B453" s="26">
        <v>41034</v>
      </c>
      <c r="C453" s="27">
        <v>0</v>
      </c>
      <c r="D453" s="25" t="str">
        <f t="shared" si="14"/>
        <v>201218</v>
      </c>
      <c r="E453" s="22" t="str">
        <f t="shared" ca="1" si="15"/>
        <v>201205</v>
      </c>
      <c r="F453" s="22">
        <v>2012</v>
      </c>
    </row>
    <row r="454" spans="1:6" ht="15.75">
      <c r="A454" s="22" t="s">
        <v>1441</v>
      </c>
      <c r="B454" s="26">
        <v>41035</v>
      </c>
      <c r="C454" s="27">
        <v>0</v>
      </c>
      <c r="D454" s="25" t="str">
        <f t="shared" si="14"/>
        <v>201218</v>
      </c>
      <c r="E454" s="22" t="str">
        <f t="shared" ca="1" si="15"/>
        <v>201205</v>
      </c>
      <c r="F454" s="22">
        <v>2012</v>
      </c>
    </row>
    <row r="455" spans="1:6" ht="15.75">
      <c r="A455" s="22" t="s">
        <v>1441</v>
      </c>
      <c r="B455" s="26">
        <v>41036</v>
      </c>
      <c r="C455" s="27">
        <v>0</v>
      </c>
      <c r="D455" s="25" t="str">
        <f t="shared" si="14"/>
        <v>201219</v>
      </c>
      <c r="E455" s="22" t="str">
        <f t="shared" ca="1" si="15"/>
        <v>201205</v>
      </c>
      <c r="F455" s="22">
        <v>2012</v>
      </c>
    </row>
    <row r="456" spans="1:6" ht="15.75">
      <c r="A456" s="22" t="s">
        <v>1441</v>
      </c>
      <c r="B456" s="26">
        <v>41037</v>
      </c>
      <c r="C456" s="27">
        <v>0</v>
      </c>
      <c r="D456" s="25" t="str">
        <f t="shared" si="14"/>
        <v>201219</v>
      </c>
      <c r="E456" s="22" t="str">
        <f t="shared" ca="1" si="15"/>
        <v>201205</v>
      </c>
      <c r="F456" s="22">
        <v>2012</v>
      </c>
    </row>
    <row r="457" spans="1:6" ht="15.75">
      <c r="A457" s="22" t="s">
        <v>1441</v>
      </c>
      <c r="B457" s="26">
        <v>41038</v>
      </c>
      <c r="C457" s="27">
        <v>0</v>
      </c>
      <c r="D457" s="25" t="str">
        <f t="shared" si="14"/>
        <v>201219</v>
      </c>
      <c r="E457" s="22" t="str">
        <f t="shared" ca="1" si="15"/>
        <v>201205</v>
      </c>
      <c r="F457" s="22">
        <v>2012</v>
      </c>
    </row>
    <row r="458" spans="1:6" ht="15.75">
      <c r="A458" s="22" t="s">
        <v>1441</v>
      </c>
      <c r="B458" s="26">
        <v>41039</v>
      </c>
      <c r="C458" s="27">
        <v>0</v>
      </c>
      <c r="D458" s="25" t="str">
        <f t="shared" si="14"/>
        <v>201219</v>
      </c>
      <c r="E458" s="22" t="str">
        <f t="shared" ca="1" si="15"/>
        <v>201205</v>
      </c>
      <c r="F458" s="22">
        <v>2012</v>
      </c>
    </row>
    <row r="459" spans="1:6" ht="15.75">
      <c r="A459" s="22" t="s">
        <v>1441</v>
      </c>
      <c r="B459" s="26">
        <v>41040</v>
      </c>
      <c r="C459" s="27">
        <v>0</v>
      </c>
      <c r="D459" s="25" t="str">
        <f t="shared" si="14"/>
        <v>201219</v>
      </c>
      <c r="E459" s="22" t="str">
        <f t="shared" ca="1" si="15"/>
        <v>201205</v>
      </c>
      <c r="F459" s="22">
        <v>2012</v>
      </c>
    </row>
    <row r="460" spans="1:6" ht="15.75">
      <c r="A460" s="22" t="s">
        <v>1441</v>
      </c>
      <c r="B460" s="26">
        <v>41041</v>
      </c>
      <c r="C460" s="27">
        <v>0</v>
      </c>
      <c r="D460" s="25" t="str">
        <f t="shared" si="14"/>
        <v>201219</v>
      </c>
      <c r="E460" s="22" t="str">
        <f t="shared" ca="1" si="15"/>
        <v>201205</v>
      </c>
      <c r="F460" s="22">
        <v>2012</v>
      </c>
    </row>
    <row r="461" spans="1:6" ht="15.75">
      <c r="A461" s="22" t="s">
        <v>1441</v>
      </c>
      <c r="B461" s="26">
        <v>41042</v>
      </c>
      <c r="C461" s="27">
        <v>0</v>
      </c>
      <c r="D461" s="25" t="str">
        <f t="shared" si="14"/>
        <v>201219</v>
      </c>
      <c r="E461" s="22" t="str">
        <f t="shared" ca="1" si="15"/>
        <v>201205</v>
      </c>
      <c r="F461" s="22">
        <v>2012</v>
      </c>
    </row>
    <row r="462" spans="1:6" ht="15.75">
      <c r="A462" s="22" t="s">
        <v>1441</v>
      </c>
      <c r="B462" s="26">
        <v>41043</v>
      </c>
      <c r="C462" s="27">
        <v>0</v>
      </c>
      <c r="D462" s="25" t="str">
        <f t="shared" si="14"/>
        <v>201220</v>
      </c>
      <c r="E462" s="22" t="str">
        <f t="shared" ca="1" si="15"/>
        <v>201205</v>
      </c>
      <c r="F462" s="22">
        <v>2012</v>
      </c>
    </row>
    <row r="463" spans="1:6" ht="15.75">
      <c r="A463" s="22" t="s">
        <v>1441</v>
      </c>
      <c r="B463" s="26">
        <v>41044</v>
      </c>
      <c r="C463" s="27">
        <v>0</v>
      </c>
      <c r="D463" s="25" t="str">
        <f t="shared" si="14"/>
        <v>201220</v>
      </c>
      <c r="E463" s="22" t="str">
        <f t="shared" ca="1" si="15"/>
        <v>201205</v>
      </c>
      <c r="F463" s="22">
        <v>2012</v>
      </c>
    </row>
    <row r="464" spans="1:6" ht="15.75">
      <c r="A464" s="22" t="s">
        <v>1441</v>
      </c>
      <c r="B464" s="26">
        <v>41045</v>
      </c>
      <c r="C464" s="27">
        <v>0</v>
      </c>
      <c r="D464" s="25" t="str">
        <f t="shared" si="14"/>
        <v>201220</v>
      </c>
      <c r="E464" s="22" t="str">
        <f t="shared" ca="1" si="15"/>
        <v>201205</v>
      </c>
      <c r="F464" s="22">
        <v>2012</v>
      </c>
    </row>
    <row r="465" spans="1:6" ht="15.75">
      <c r="A465" s="22" t="s">
        <v>1441</v>
      </c>
      <c r="B465" s="26">
        <v>41046</v>
      </c>
      <c r="C465" s="27">
        <v>0</v>
      </c>
      <c r="D465" s="25" t="str">
        <f t="shared" si="14"/>
        <v>201220</v>
      </c>
      <c r="E465" s="22" t="str">
        <f t="shared" ca="1" si="15"/>
        <v>201205</v>
      </c>
      <c r="F465" s="22">
        <v>2012</v>
      </c>
    </row>
    <row r="466" spans="1:6" ht="15.75">
      <c r="A466" s="22" t="s">
        <v>1441</v>
      </c>
      <c r="B466" s="26">
        <v>41047</v>
      </c>
      <c r="C466" s="27">
        <v>0</v>
      </c>
      <c r="D466" s="25" t="str">
        <f t="shared" si="14"/>
        <v>201220</v>
      </c>
      <c r="E466" s="22" t="str">
        <f t="shared" ca="1" si="15"/>
        <v>201205</v>
      </c>
      <c r="F466" s="22">
        <v>2012</v>
      </c>
    </row>
    <row r="467" spans="1:6" ht="15.75">
      <c r="A467" s="22" t="s">
        <v>1441</v>
      </c>
      <c r="B467" s="26">
        <v>41048</v>
      </c>
      <c r="C467" s="27">
        <v>0</v>
      </c>
      <c r="D467" s="25" t="str">
        <f t="shared" si="14"/>
        <v>201220</v>
      </c>
      <c r="E467" s="22" t="str">
        <f t="shared" ca="1" si="15"/>
        <v>201205</v>
      </c>
      <c r="F467" s="22">
        <v>2012</v>
      </c>
    </row>
    <row r="468" spans="1:6" ht="15.75">
      <c r="A468" s="22" t="s">
        <v>1441</v>
      </c>
      <c r="B468" s="26">
        <v>41049</v>
      </c>
      <c r="C468" s="27">
        <v>0</v>
      </c>
      <c r="D468" s="25" t="str">
        <f t="shared" si="14"/>
        <v>201220</v>
      </c>
      <c r="E468" s="22" t="str">
        <f t="shared" ca="1" si="15"/>
        <v>201205</v>
      </c>
      <c r="F468" s="22">
        <v>2012</v>
      </c>
    </row>
    <row r="469" spans="1:6" ht="15.75">
      <c r="A469" s="22" t="s">
        <v>1441</v>
      </c>
      <c r="B469" s="26">
        <v>41050</v>
      </c>
      <c r="C469" s="27">
        <v>0</v>
      </c>
      <c r="D469" s="25" t="str">
        <f t="shared" si="14"/>
        <v>201221</v>
      </c>
      <c r="E469" s="22" t="str">
        <f t="shared" ca="1" si="15"/>
        <v>201205</v>
      </c>
      <c r="F469" s="22">
        <v>2012</v>
      </c>
    </row>
    <row r="470" spans="1:6" ht="15.75">
      <c r="A470" s="22" t="s">
        <v>1441</v>
      </c>
      <c r="B470" s="26">
        <v>41051</v>
      </c>
      <c r="C470" s="27">
        <v>0</v>
      </c>
      <c r="D470" s="25" t="str">
        <f t="shared" si="14"/>
        <v>201221</v>
      </c>
      <c r="E470" s="22" t="str">
        <f t="shared" ca="1" si="15"/>
        <v>201205</v>
      </c>
      <c r="F470" s="22">
        <v>2012</v>
      </c>
    </row>
    <row r="471" spans="1:6" ht="15.75">
      <c r="A471" s="22" t="s">
        <v>1441</v>
      </c>
      <c r="B471" s="26">
        <v>41052</v>
      </c>
      <c r="C471" s="27">
        <v>0</v>
      </c>
      <c r="D471" s="25" t="str">
        <f t="shared" si="14"/>
        <v>201221</v>
      </c>
      <c r="E471" s="22" t="str">
        <f t="shared" ca="1" si="15"/>
        <v>201205</v>
      </c>
      <c r="F471" s="22">
        <v>2012</v>
      </c>
    </row>
    <row r="472" spans="1:6" ht="15.75">
      <c r="A472" s="22" t="s">
        <v>1441</v>
      </c>
      <c r="B472" s="26">
        <v>41053</v>
      </c>
      <c r="C472" s="27">
        <v>0</v>
      </c>
      <c r="D472" s="25" t="str">
        <f t="shared" si="14"/>
        <v>201221</v>
      </c>
      <c r="E472" s="22" t="str">
        <f t="shared" ca="1" si="15"/>
        <v>201205</v>
      </c>
      <c r="F472" s="22">
        <v>2012</v>
      </c>
    </row>
    <row r="473" spans="1:6" ht="15.75">
      <c r="A473" s="22" t="s">
        <v>1441</v>
      </c>
      <c r="B473" s="26">
        <v>41054</v>
      </c>
      <c r="C473" s="27">
        <v>0</v>
      </c>
      <c r="D473" s="25" t="str">
        <f t="shared" si="14"/>
        <v>201221</v>
      </c>
      <c r="E473" s="22" t="str">
        <f t="shared" ca="1" si="15"/>
        <v>201205</v>
      </c>
      <c r="F473" s="22">
        <v>2012</v>
      </c>
    </row>
    <row r="474" spans="1:6" ht="15.75">
      <c r="A474" s="22" t="s">
        <v>1441</v>
      </c>
      <c r="B474" s="26">
        <v>41055</v>
      </c>
      <c r="C474" s="27">
        <v>0</v>
      </c>
      <c r="D474" s="25" t="str">
        <f t="shared" si="14"/>
        <v>201221</v>
      </c>
      <c r="E474" s="22" t="str">
        <f t="shared" ca="1" si="15"/>
        <v>201205</v>
      </c>
      <c r="F474" s="22">
        <v>2012</v>
      </c>
    </row>
    <row r="475" spans="1:6" ht="15.75">
      <c r="A475" s="22" t="s">
        <v>1441</v>
      </c>
      <c r="B475" s="26">
        <v>41056</v>
      </c>
      <c r="C475" s="27">
        <v>0</v>
      </c>
      <c r="D475" s="25" t="str">
        <f t="shared" si="14"/>
        <v>201221</v>
      </c>
      <c r="E475" s="22" t="str">
        <f t="shared" ca="1" si="15"/>
        <v>201205</v>
      </c>
      <c r="F475" s="22">
        <v>2012</v>
      </c>
    </row>
    <row r="476" spans="1:6" ht="15.75">
      <c r="A476" s="22" t="s">
        <v>1441</v>
      </c>
      <c r="B476" s="26">
        <v>41057</v>
      </c>
      <c r="C476" s="27">
        <v>0</v>
      </c>
      <c r="D476" s="25" t="str">
        <f t="shared" si="14"/>
        <v>201222</v>
      </c>
      <c r="E476" s="22" t="str">
        <f t="shared" ca="1" si="15"/>
        <v>201205</v>
      </c>
      <c r="F476" s="22">
        <v>2012</v>
      </c>
    </row>
    <row r="477" spans="1:6" ht="15.75">
      <c r="A477" s="22" t="s">
        <v>1441</v>
      </c>
      <c r="B477" s="26">
        <v>41058</v>
      </c>
      <c r="C477" s="27">
        <v>0</v>
      </c>
      <c r="D477" s="25" t="str">
        <f t="shared" si="14"/>
        <v>201222</v>
      </c>
      <c r="E477" s="22" t="str">
        <f t="shared" ca="1" si="15"/>
        <v>201205</v>
      </c>
      <c r="F477" s="22">
        <v>2012</v>
      </c>
    </row>
    <row r="478" spans="1:6" ht="15.75">
      <c r="A478" s="22" t="s">
        <v>1441</v>
      </c>
      <c r="B478" s="26">
        <v>41059</v>
      </c>
      <c r="C478" s="27">
        <v>0</v>
      </c>
      <c r="D478" s="25" t="str">
        <f t="shared" si="14"/>
        <v>201222</v>
      </c>
      <c r="E478" s="22" t="str">
        <f t="shared" ca="1" si="15"/>
        <v>201205</v>
      </c>
      <c r="F478" s="22">
        <v>2012</v>
      </c>
    </row>
    <row r="479" spans="1:6" ht="15.75">
      <c r="A479" s="22" t="s">
        <v>1441</v>
      </c>
      <c r="B479" s="26">
        <v>41060</v>
      </c>
      <c r="C479" s="27">
        <v>0</v>
      </c>
      <c r="D479" s="25" t="str">
        <f t="shared" si="14"/>
        <v>201222</v>
      </c>
      <c r="E479" s="22" t="str">
        <f t="shared" ca="1" si="15"/>
        <v>201205</v>
      </c>
      <c r="F479" s="22">
        <v>2012</v>
      </c>
    </row>
    <row r="480" spans="1:6" ht="15.75">
      <c r="A480" s="22" t="s">
        <v>1441</v>
      </c>
      <c r="B480" s="26">
        <v>41061</v>
      </c>
      <c r="C480" s="27">
        <v>0</v>
      </c>
      <c r="D480" s="25" t="str">
        <f t="shared" si="14"/>
        <v>201222</v>
      </c>
      <c r="E480" s="22" t="str">
        <f t="shared" ca="1" si="15"/>
        <v>201206</v>
      </c>
      <c r="F480" s="22">
        <v>2012</v>
      </c>
    </row>
    <row r="481" spans="1:6" ht="15.75">
      <c r="A481" s="22" t="s">
        <v>1441</v>
      </c>
      <c r="B481" s="26">
        <v>41062</v>
      </c>
      <c r="C481" s="27">
        <v>0</v>
      </c>
      <c r="D481" s="25" t="str">
        <f t="shared" si="14"/>
        <v>201222</v>
      </c>
      <c r="E481" s="22" t="str">
        <f t="shared" ca="1" si="15"/>
        <v>201206</v>
      </c>
      <c r="F481" s="22">
        <v>2012</v>
      </c>
    </row>
    <row r="482" spans="1:6" ht="15.75">
      <c r="A482" s="22" t="s">
        <v>1441</v>
      </c>
      <c r="B482" s="26">
        <v>41063</v>
      </c>
      <c r="C482" s="27">
        <v>0</v>
      </c>
      <c r="D482" s="25" t="str">
        <f t="shared" si="14"/>
        <v>201222</v>
      </c>
      <c r="E482" s="22" t="str">
        <f t="shared" ca="1" si="15"/>
        <v>201206</v>
      </c>
      <c r="F482" s="22">
        <v>2012</v>
      </c>
    </row>
    <row r="483" spans="1:6" ht="15.75">
      <c r="A483" s="22" t="s">
        <v>1441</v>
      </c>
      <c r="B483" s="26">
        <v>41064</v>
      </c>
      <c r="C483" s="27">
        <v>0</v>
      </c>
      <c r="D483" s="25" t="str">
        <f t="shared" si="14"/>
        <v>201223</v>
      </c>
      <c r="E483" s="22" t="str">
        <f t="shared" ca="1" si="15"/>
        <v>201206</v>
      </c>
      <c r="F483" s="22">
        <v>2012</v>
      </c>
    </row>
    <row r="484" spans="1:6" ht="15.75">
      <c r="A484" s="22" t="s">
        <v>1441</v>
      </c>
      <c r="B484" s="26">
        <v>41065</v>
      </c>
      <c r="C484" s="27">
        <v>0</v>
      </c>
      <c r="D484" s="25" t="str">
        <f t="shared" si="14"/>
        <v>201223</v>
      </c>
      <c r="E484" s="22" t="str">
        <f t="shared" ca="1" si="15"/>
        <v>201206</v>
      </c>
      <c r="F484" s="22">
        <v>2012</v>
      </c>
    </row>
    <row r="485" spans="1:6" ht="15.75">
      <c r="A485" s="22" t="s">
        <v>1441</v>
      </c>
      <c r="B485" s="26">
        <v>41066</v>
      </c>
      <c r="C485" s="27">
        <v>0</v>
      </c>
      <c r="D485" s="25" t="str">
        <f t="shared" si="14"/>
        <v>201223</v>
      </c>
      <c r="E485" s="22" t="str">
        <f t="shared" ca="1" si="15"/>
        <v>201206</v>
      </c>
      <c r="F485" s="22">
        <v>2012</v>
      </c>
    </row>
    <row r="486" spans="1:6" ht="15.75">
      <c r="A486" s="22" t="s">
        <v>1441</v>
      </c>
      <c r="B486" s="26">
        <v>41067</v>
      </c>
      <c r="C486" s="27">
        <v>0</v>
      </c>
      <c r="D486" s="25" t="str">
        <f t="shared" si="14"/>
        <v>201223</v>
      </c>
      <c r="E486" s="22" t="str">
        <f t="shared" ca="1" si="15"/>
        <v>201206</v>
      </c>
      <c r="F486" s="22">
        <v>2012</v>
      </c>
    </row>
    <row r="487" spans="1:6" ht="15.75">
      <c r="A487" s="22" t="s">
        <v>1441</v>
      </c>
      <c r="B487" s="26">
        <v>41068</v>
      </c>
      <c r="C487" s="27">
        <v>0</v>
      </c>
      <c r="D487" s="25" t="str">
        <f t="shared" si="14"/>
        <v>201223</v>
      </c>
      <c r="E487" s="22" t="str">
        <f t="shared" ca="1" si="15"/>
        <v>201206</v>
      </c>
      <c r="F487" s="22">
        <v>2012</v>
      </c>
    </row>
    <row r="488" spans="1:6" ht="15.75">
      <c r="A488" s="22" t="s">
        <v>1441</v>
      </c>
      <c r="B488" s="26">
        <v>41069</v>
      </c>
      <c r="C488" s="27">
        <v>0</v>
      </c>
      <c r="D488" s="25" t="str">
        <f t="shared" si="14"/>
        <v>201223</v>
      </c>
      <c r="E488" s="22" t="str">
        <f t="shared" ca="1" si="15"/>
        <v>201206</v>
      </c>
      <c r="F488" s="22">
        <v>2012</v>
      </c>
    </row>
    <row r="489" spans="1:6" ht="15.75">
      <c r="A489" s="22" t="s">
        <v>1441</v>
      </c>
      <c r="B489" s="26">
        <v>41070</v>
      </c>
      <c r="C489" s="27">
        <v>0</v>
      </c>
      <c r="D489" s="25" t="str">
        <f t="shared" si="14"/>
        <v>201223</v>
      </c>
      <c r="E489" s="22" t="str">
        <f t="shared" ca="1" si="15"/>
        <v>201206</v>
      </c>
      <c r="F489" s="22">
        <v>2012</v>
      </c>
    </row>
    <row r="490" spans="1:6" ht="15.75">
      <c r="A490" s="22" t="s">
        <v>1441</v>
      </c>
      <c r="B490" s="26">
        <v>41071</v>
      </c>
      <c r="C490" s="27">
        <v>0</v>
      </c>
      <c r="D490" s="25" t="str">
        <f t="shared" si="14"/>
        <v>201224</v>
      </c>
      <c r="E490" s="22" t="str">
        <f t="shared" ca="1" si="15"/>
        <v>201206</v>
      </c>
      <c r="F490" s="22">
        <v>2012</v>
      </c>
    </row>
    <row r="491" spans="1:6" ht="15.75">
      <c r="A491" s="22" t="s">
        <v>1441</v>
      </c>
      <c r="B491" s="26">
        <v>41072</v>
      </c>
      <c r="C491" s="27">
        <v>0</v>
      </c>
      <c r="D491" s="25" t="str">
        <f t="shared" si="14"/>
        <v>201224</v>
      </c>
      <c r="E491" s="22" t="str">
        <f t="shared" ca="1" si="15"/>
        <v>201206</v>
      </c>
      <c r="F491" s="22">
        <v>2012</v>
      </c>
    </row>
    <row r="492" spans="1:6" ht="15.75">
      <c r="A492" s="22" t="s">
        <v>1441</v>
      </c>
      <c r="B492" s="26">
        <v>41073</v>
      </c>
      <c r="C492" s="27">
        <v>0</v>
      </c>
      <c r="D492" s="25" t="str">
        <f t="shared" si="14"/>
        <v>201224</v>
      </c>
      <c r="E492" s="22" t="str">
        <f t="shared" ca="1" si="15"/>
        <v>201206</v>
      </c>
      <c r="F492" s="22">
        <v>2012</v>
      </c>
    </row>
    <row r="493" spans="1:6" ht="15.75">
      <c r="A493" s="22" t="s">
        <v>1441</v>
      </c>
      <c r="B493" s="26">
        <v>41074</v>
      </c>
      <c r="C493" s="27">
        <v>0</v>
      </c>
      <c r="D493" s="25" t="str">
        <f t="shared" si="14"/>
        <v>201224</v>
      </c>
      <c r="E493" s="22" t="str">
        <f t="shared" ca="1" si="15"/>
        <v>201206</v>
      </c>
      <c r="F493" s="22">
        <v>2012</v>
      </c>
    </row>
    <row r="494" spans="1:6" ht="15.75">
      <c r="A494" s="22" t="s">
        <v>1441</v>
      </c>
      <c r="B494" s="26">
        <v>41075</v>
      </c>
      <c r="C494" s="27">
        <v>0</v>
      </c>
      <c r="D494" s="25" t="str">
        <f t="shared" si="14"/>
        <v>201224</v>
      </c>
      <c r="E494" s="22" t="str">
        <f t="shared" ca="1" si="15"/>
        <v>201206</v>
      </c>
      <c r="F494" s="22">
        <v>2012</v>
      </c>
    </row>
    <row r="495" spans="1:6" ht="15.75">
      <c r="A495" s="22" t="s">
        <v>1441</v>
      </c>
      <c r="B495" s="26">
        <v>41076</v>
      </c>
      <c r="C495" s="27">
        <v>0</v>
      </c>
      <c r="D495" s="25" t="str">
        <f t="shared" si="14"/>
        <v>201224</v>
      </c>
      <c r="E495" s="22" t="str">
        <f t="shared" ca="1" si="15"/>
        <v>201206</v>
      </c>
      <c r="F495" s="22">
        <v>2012</v>
      </c>
    </row>
    <row r="496" spans="1:6" ht="15.75">
      <c r="A496" s="22" t="s">
        <v>1441</v>
      </c>
      <c r="B496" s="26">
        <v>41077</v>
      </c>
      <c r="C496" s="27">
        <v>0</v>
      </c>
      <c r="D496" s="25" t="str">
        <f t="shared" si="14"/>
        <v>201224</v>
      </c>
      <c r="E496" s="22" t="str">
        <f t="shared" ca="1" si="15"/>
        <v>201206</v>
      </c>
      <c r="F496" s="22">
        <v>2012</v>
      </c>
    </row>
    <row r="497" spans="1:6" ht="15.75">
      <c r="A497" s="22" t="s">
        <v>1441</v>
      </c>
      <c r="B497" s="26">
        <v>41078</v>
      </c>
      <c r="C497" s="27">
        <v>0</v>
      </c>
      <c r="D497" s="25" t="str">
        <f t="shared" si="14"/>
        <v>201225</v>
      </c>
      <c r="E497" s="22" t="str">
        <f t="shared" ca="1" si="15"/>
        <v>201206</v>
      </c>
      <c r="F497" s="22">
        <v>2012</v>
      </c>
    </row>
    <row r="498" spans="1:6" ht="15.75">
      <c r="A498" s="22" t="s">
        <v>1441</v>
      </c>
      <c r="B498" s="26">
        <v>41079</v>
      </c>
      <c r="C498" s="27">
        <v>0</v>
      </c>
      <c r="D498" s="25" t="str">
        <f t="shared" si="14"/>
        <v>201225</v>
      </c>
      <c r="E498" s="22" t="str">
        <f t="shared" ca="1" si="15"/>
        <v>201206</v>
      </c>
      <c r="F498" s="22">
        <v>2012</v>
      </c>
    </row>
    <row r="499" spans="1:6" ht="15.75">
      <c r="A499" s="22" t="s">
        <v>1441</v>
      </c>
      <c r="B499" s="26">
        <v>41080</v>
      </c>
      <c r="C499" s="27">
        <v>0</v>
      </c>
      <c r="D499" s="25" t="str">
        <f t="shared" si="14"/>
        <v>201225</v>
      </c>
      <c r="E499" s="22" t="str">
        <f t="shared" ca="1" si="15"/>
        <v>201206</v>
      </c>
      <c r="F499" s="22">
        <v>2012</v>
      </c>
    </row>
    <row r="500" spans="1:6" ht="15.75">
      <c r="A500" s="22" t="s">
        <v>1441</v>
      </c>
      <c r="B500" s="26">
        <v>41081</v>
      </c>
      <c r="C500" s="27">
        <v>0</v>
      </c>
      <c r="D500" s="25" t="str">
        <f t="shared" si="14"/>
        <v>201225</v>
      </c>
      <c r="E500" s="22" t="str">
        <f t="shared" ca="1" si="15"/>
        <v>201206</v>
      </c>
      <c r="F500" s="22">
        <v>2012</v>
      </c>
    </row>
    <row r="501" spans="1:6" ht="15.75">
      <c r="A501" s="22" t="s">
        <v>1441</v>
      </c>
      <c r="B501" s="26">
        <v>41082</v>
      </c>
      <c r="C501" s="27">
        <v>0</v>
      </c>
      <c r="D501" s="25" t="str">
        <f t="shared" si="14"/>
        <v>201225</v>
      </c>
      <c r="E501" s="22" t="str">
        <f t="shared" ca="1" si="15"/>
        <v>201206</v>
      </c>
      <c r="F501" s="22">
        <v>2012</v>
      </c>
    </row>
    <row r="502" spans="1:6" ht="15.75">
      <c r="A502" s="22" t="s">
        <v>1441</v>
      </c>
      <c r="B502" s="26">
        <v>41083</v>
      </c>
      <c r="C502" s="27">
        <v>0</v>
      </c>
      <c r="D502" s="25" t="str">
        <f t="shared" si="14"/>
        <v>201225</v>
      </c>
      <c r="E502" s="22" t="str">
        <f t="shared" ca="1" si="15"/>
        <v>201206</v>
      </c>
      <c r="F502" s="22">
        <v>2012</v>
      </c>
    </row>
    <row r="503" spans="1:6" ht="15.75">
      <c r="A503" s="22" t="s">
        <v>1441</v>
      </c>
      <c r="B503" s="26">
        <v>41084</v>
      </c>
      <c r="C503" s="27">
        <v>0</v>
      </c>
      <c r="D503" s="25" t="str">
        <f t="shared" si="14"/>
        <v>201225</v>
      </c>
      <c r="E503" s="22" t="str">
        <f t="shared" ca="1" si="15"/>
        <v>201206</v>
      </c>
      <c r="F503" s="22">
        <v>2012</v>
      </c>
    </row>
    <row r="504" spans="1:6" ht="15.75">
      <c r="A504" s="22" t="s">
        <v>1441</v>
      </c>
      <c r="B504" s="26">
        <v>41085</v>
      </c>
      <c r="C504" s="27">
        <v>0</v>
      </c>
      <c r="D504" s="25" t="str">
        <f t="shared" si="14"/>
        <v>201226</v>
      </c>
      <c r="E504" s="22" t="str">
        <f t="shared" ca="1" si="15"/>
        <v>201206</v>
      </c>
      <c r="F504" s="22">
        <v>2012</v>
      </c>
    </row>
    <row r="505" spans="1:6" ht="15.75">
      <c r="A505" s="22" t="s">
        <v>1441</v>
      </c>
      <c r="B505" s="26">
        <v>41086</v>
      </c>
      <c r="C505" s="27">
        <v>0</v>
      </c>
      <c r="D505" s="25" t="str">
        <f t="shared" si="14"/>
        <v>201226</v>
      </c>
      <c r="E505" s="22" t="str">
        <f t="shared" ca="1" si="15"/>
        <v>201206</v>
      </c>
      <c r="F505" s="22">
        <v>2012</v>
      </c>
    </row>
    <row r="506" spans="1:6" ht="15.75">
      <c r="A506" s="22" t="s">
        <v>1441</v>
      </c>
      <c r="B506" s="26">
        <v>41087</v>
      </c>
      <c r="C506" s="27">
        <v>0</v>
      </c>
      <c r="D506" s="25" t="str">
        <f t="shared" si="14"/>
        <v>201226</v>
      </c>
      <c r="E506" s="22" t="str">
        <f t="shared" ca="1" si="15"/>
        <v>201206</v>
      </c>
      <c r="F506" s="22">
        <v>2012</v>
      </c>
    </row>
    <row r="507" spans="1:6" ht="15.75">
      <c r="A507" s="22" t="s">
        <v>1441</v>
      </c>
      <c r="B507" s="26">
        <v>41088</v>
      </c>
      <c r="C507" s="27">
        <v>0</v>
      </c>
      <c r="D507" s="25" t="str">
        <f t="shared" si="14"/>
        <v>201226</v>
      </c>
      <c r="E507" s="22" t="str">
        <f t="shared" ca="1" si="15"/>
        <v>201206</v>
      </c>
      <c r="F507" s="22">
        <v>2012</v>
      </c>
    </row>
    <row r="508" spans="1:6" ht="15.75">
      <c r="A508" s="22" t="s">
        <v>1441</v>
      </c>
      <c r="B508" s="26">
        <v>41089</v>
      </c>
      <c r="C508" s="27">
        <v>0</v>
      </c>
      <c r="D508" s="25" t="str">
        <f t="shared" si="14"/>
        <v>201226</v>
      </c>
      <c r="E508" s="22" t="str">
        <f t="shared" ca="1" si="15"/>
        <v>201206</v>
      </c>
      <c r="F508" s="22">
        <v>2012</v>
      </c>
    </row>
    <row r="509" spans="1:6" ht="15.75">
      <c r="A509" s="22" t="s">
        <v>1441</v>
      </c>
      <c r="B509" s="26">
        <v>41090</v>
      </c>
      <c r="C509" s="27">
        <v>0</v>
      </c>
      <c r="D509" s="25" t="str">
        <f t="shared" si="14"/>
        <v>201226</v>
      </c>
      <c r="E509" s="22" t="str">
        <f t="shared" ca="1" si="15"/>
        <v>201206</v>
      </c>
      <c r="F509" s="22">
        <v>2012</v>
      </c>
    </row>
    <row r="510" spans="1:6" ht="15.75">
      <c r="A510" s="22" t="s">
        <v>1441</v>
      </c>
      <c r="B510" s="26">
        <v>41091</v>
      </c>
      <c r="C510" s="27">
        <v>0</v>
      </c>
      <c r="D510" s="25" t="str">
        <f t="shared" si="14"/>
        <v>201226</v>
      </c>
      <c r="E510" s="22" t="str">
        <f t="shared" ca="1" si="15"/>
        <v>201207</v>
      </c>
      <c r="F510" s="22">
        <v>2012</v>
      </c>
    </row>
    <row r="511" spans="1:6" ht="15.75">
      <c r="A511" s="22" t="s">
        <v>1441</v>
      </c>
      <c r="B511" s="26">
        <v>41092</v>
      </c>
      <c r="C511" s="27">
        <v>0</v>
      </c>
      <c r="D511" s="25" t="str">
        <f t="shared" si="14"/>
        <v>201227</v>
      </c>
      <c r="E511" s="22" t="str">
        <f t="shared" ca="1" si="15"/>
        <v>201207</v>
      </c>
      <c r="F511" s="22">
        <v>2012</v>
      </c>
    </row>
    <row r="512" spans="1:6" ht="15.75">
      <c r="A512" s="22" t="s">
        <v>1441</v>
      </c>
      <c r="B512" s="26">
        <v>41093</v>
      </c>
      <c r="C512" s="27">
        <v>0</v>
      </c>
      <c r="D512" s="25" t="str">
        <f t="shared" si="14"/>
        <v>201227</v>
      </c>
      <c r="E512" s="22" t="str">
        <f t="shared" ca="1" si="15"/>
        <v>201207</v>
      </c>
      <c r="F512" s="22">
        <v>2012</v>
      </c>
    </row>
    <row r="513" spans="1:6" ht="15.75">
      <c r="A513" s="22" t="s">
        <v>1441</v>
      </c>
      <c r="B513" s="26">
        <v>41094</v>
      </c>
      <c r="C513" s="27">
        <v>0</v>
      </c>
      <c r="D513" s="25" t="str">
        <f t="shared" si="14"/>
        <v>201227</v>
      </c>
      <c r="E513" s="22" t="str">
        <f t="shared" ca="1" si="15"/>
        <v>201207</v>
      </c>
      <c r="F513" s="22">
        <v>2012</v>
      </c>
    </row>
    <row r="514" spans="1:6" ht="15.75">
      <c r="A514" s="22" t="s">
        <v>1441</v>
      </c>
      <c r="B514" s="26">
        <v>41095</v>
      </c>
      <c r="C514" s="27">
        <v>0</v>
      </c>
      <c r="D514" s="25" t="str">
        <f t="shared" si="14"/>
        <v>201227</v>
      </c>
      <c r="E514" s="22" t="str">
        <f t="shared" ca="1" si="15"/>
        <v>201207</v>
      </c>
      <c r="F514" s="22">
        <v>2012</v>
      </c>
    </row>
    <row r="515" spans="1:6" ht="15.75">
      <c r="A515" s="22" t="s">
        <v>1441</v>
      </c>
      <c r="B515" s="26">
        <v>41096</v>
      </c>
      <c r="C515" s="27">
        <v>0</v>
      </c>
      <c r="D515" s="25" t="str">
        <f t="shared" ref="D515:D578" si="16">CONCATENATE(YEAR(B515-WEEKDAY(B515,3)+3),TEXT(WEEKNUM(B515,21),"00"))</f>
        <v>201227</v>
      </c>
      <c r="E515" s="22" t="str">
        <f t="shared" ref="E515:E578" ca="1" si="17">IF(
  AND(
    YEAR(B515)=YEAR(TODAY())-1,
    MONTH(B515)=MONTH(TODAY()),
    DAY(B515)&gt;DAY($H$2)
  ),
  0,
  CONCATENATE(YEAR(B515),TEXT(MONTH(B515),"00"))
)</f>
        <v>201207</v>
      </c>
      <c r="F515" s="22">
        <v>2012</v>
      </c>
    </row>
    <row r="516" spans="1:6" ht="15.75">
      <c r="A516" s="22" t="s">
        <v>1441</v>
      </c>
      <c r="B516" s="26">
        <v>41097</v>
      </c>
      <c r="C516" s="27">
        <v>0</v>
      </c>
      <c r="D516" s="25" t="str">
        <f t="shared" si="16"/>
        <v>201227</v>
      </c>
      <c r="E516" s="22" t="str">
        <f t="shared" ca="1" si="17"/>
        <v>201207</v>
      </c>
      <c r="F516" s="22">
        <v>2012</v>
      </c>
    </row>
    <row r="517" spans="1:6" ht="15.75">
      <c r="A517" s="22" t="s">
        <v>1441</v>
      </c>
      <c r="B517" s="26">
        <v>41098</v>
      </c>
      <c r="C517" s="27">
        <v>0</v>
      </c>
      <c r="D517" s="25" t="str">
        <f t="shared" si="16"/>
        <v>201227</v>
      </c>
      <c r="E517" s="22" t="str">
        <f t="shared" ca="1" si="17"/>
        <v>201207</v>
      </c>
      <c r="F517" s="22">
        <v>2012</v>
      </c>
    </row>
    <row r="518" spans="1:6" ht="15.75">
      <c r="A518" s="22" t="s">
        <v>1441</v>
      </c>
      <c r="B518" s="26">
        <v>41099</v>
      </c>
      <c r="C518" s="27">
        <v>0</v>
      </c>
      <c r="D518" s="25" t="str">
        <f t="shared" si="16"/>
        <v>201228</v>
      </c>
      <c r="E518" s="22" t="str">
        <f t="shared" ca="1" si="17"/>
        <v>201207</v>
      </c>
      <c r="F518" s="22">
        <v>2012</v>
      </c>
    </row>
    <row r="519" spans="1:6" ht="15.75">
      <c r="A519" s="22" t="s">
        <v>1441</v>
      </c>
      <c r="B519" s="26">
        <v>41100</v>
      </c>
      <c r="C519" s="27">
        <v>0</v>
      </c>
      <c r="D519" s="25" t="str">
        <f t="shared" si="16"/>
        <v>201228</v>
      </c>
      <c r="E519" s="22" t="str">
        <f t="shared" ca="1" si="17"/>
        <v>201207</v>
      </c>
      <c r="F519" s="22">
        <v>2012</v>
      </c>
    </row>
    <row r="520" spans="1:6" ht="15.75">
      <c r="A520" s="22" t="s">
        <v>1441</v>
      </c>
      <c r="B520" s="26">
        <v>41101</v>
      </c>
      <c r="C520" s="27">
        <v>0</v>
      </c>
      <c r="D520" s="25" t="str">
        <f t="shared" si="16"/>
        <v>201228</v>
      </c>
      <c r="E520" s="22" t="str">
        <f t="shared" ca="1" si="17"/>
        <v>201207</v>
      </c>
      <c r="F520" s="22">
        <v>2012</v>
      </c>
    </row>
    <row r="521" spans="1:6" ht="15.75">
      <c r="A521" s="22" t="s">
        <v>1441</v>
      </c>
      <c r="B521" s="26">
        <v>41102</v>
      </c>
      <c r="C521" s="27">
        <v>0</v>
      </c>
      <c r="D521" s="25" t="str">
        <f t="shared" si="16"/>
        <v>201228</v>
      </c>
      <c r="E521" s="22" t="str">
        <f t="shared" ca="1" si="17"/>
        <v>201207</v>
      </c>
      <c r="F521" s="22">
        <v>2012</v>
      </c>
    </row>
    <row r="522" spans="1:6" ht="15.75">
      <c r="A522" s="22" t="s">
        <v>1441</v>
      </c>
      <c r="B522" s="26">
        <v>41103</v>
      </c>
      <c r="C522" s="27">
        <v>0</v>
      </c>
      <c r="D522" s="25" t="str">
        <f t="shared" si="16"/>
        <v>201228</v>
      </c>
      <c r="E522" s="22" t="str">
        <f t="shared" ca="1" si="17"/>
        <v>201207</v>
      </c>
      <c r="F522" s="22">
        <v>2012</v>
      </c>
    </row>
    <row r="523" spans="1:6" ht="15.75">
      <c r="A523" s="22" t="s">
        <v>1441</v>
      </c>
      <c r="B523" s="26">
        <v>41104</v>
      </c>
      <c r="C523" s="27">
        <v>0</v>
      </c>
      <c r="D523" s="25" t="str">
        <f t="shared" si="16"/>
        <v>201228</v>
      </c>
      <c r="E523" s="22" t="str">
        <f t="shared" ca="1" si="17"/>
        <v>201207</v>
      </c>
      <c r="F523" s="22">
        <v>2012</v>
      </c>
    </row>
    <row r="524" spans="1:6" ht="15.75">
      <c r="A524" s="22" t="s">
        <v>1441</v>
      </c>
      <c r="B524" s="26">
        <v>41105</v>
      </c>
      <c r="C524" s="27">
        <v>0</v>
      </c>
      <c r="D524" s="25" t="str">
        <f t="shared" si="16"/>
        <v>201228</v>
      </c>
      <c r="E524" s="22" t="str">
        <f t="shared" ca="1" si="17"/>
        <v>201207</v>
      </c>
      <c r="F524" s="22">
        <v>2012</v>
      </c>
    </row>
    <row r="525" spans="1:6" ht="15.75">
      <c r="A525" s="22" t="s">
        <v>1441</v>
      </c>
      <c r="B525" s="26">
        <v>41106</v>
      </c>
      <c r="C525" s="27">
        <v>0</v>
      </c>
      <c r="D525" s="25" t="str">
        <f t="shared" si="16"/>
        <v>201229</v>
      </c>
      <c r="E525" s="22" t="str">
        <f t="shared" ca="1" si="17"/>
        <v>201207</v>
      </c>
      <c r="F525" s="22">
        <v>2012</v>
      </c>
    </row>
    <row r="526" spans="1:6" ht="15.75">
      <c r="A526" s="22" t="s">
        <v>1441</v>
      </c>
      <c r="B526" s="26">
        <v>41107</v>
      </c>
      <c r="C526" s="27">
        <v>0</v>
      </c>
      <c r="D526" s="25" t="str">
        <f t="shared" si="16"/>
        <v>201229</v>
      </c>
      <c r="E526" s="22" t="str">
        <f t="shared" ca="1" si="17"/>
        <v>201207</v>
      </c>
      <c r="F526" s="22">
        <v>2012</v>
      </c>
    </row>
    <row r="527" spans="1:6" ht="15.75">
      <c r="A527" s="22" t="s">
        <v>1441</v>
      </c>
      <c r="B527" s="26">
        <v>41108</v>
      </c>
      <c r="C527" s="27">
        <v>0</v>
      </c>
      <c r="D527" s="25" t="str">
        <f t="shared" si="16"/>
        <v>201229</v>
      </c>
      <c r="E527" s="22" t="str">
        <f t="shared" ca="1" si="17"/>
        <v>201207</v>
      </c>
      <c r="F527" s="22">
        <v>2012</v>
      </c>
    </row>
    <row r="528" spans="1:6" ht="15.75">
      <c r="A528" s="22" t="s">
        <v>1441</v>
      </c>
      <c r="B528" s="26">
        <v>41109</v>
      </c>
      <c r="C528" s="27">
        <v>0</v>
      </c>
      <c r="D528" s="25" t="str">
        <f t="shared" si="16"/>
        <v>201229</v>
      </c>
      <c r="E528" s="22" t="str">
        <f t="shared" ca="1" si="17"/>
        <v>201207</v>
      </c>
      <c r="F528" s="22">
        <v>2012</v>
      </c>
    </row>
    <row r="529" spans="1:6" ht="15.75">
      <c r="A529" s="22" t="s">
        <v>1441</v>
      </c>
      <c r="B529" s="26">
        <v>41110</v>
      </c>
      <c r="C529" s="27">
        <v>0</v>
      </c>
      <c r="D529" s="25" t="str">
        <f t="shared" si="16"/>
        <v>201229</v>
      </c>
      <c r="E529" s="22" t="str">
        <f t="shared" ca="1" si="17"/>
        <v>201207</v>
      </c>
      <c r="F529" s="22">
        <v>2012</v>
      </c>
    </row>
    <row r="530" spans="1:6" ht="15.75">
      <c r="A530" s="22" t="s">
        <v>1441</v>
      </c>
      <c r="B530" s="26">
        <v>41111</v>
      </c>
      <c r="C530" s="27">
        <v>0</v>
      </c>
      <c r="D530" s="25" t="str">
        <f t="shared" si="16"/>
        <v>201229</v>
      </c>
      <c r="E530" s="22" t="str">
        <f t="shared" ca="1" si="17"/>
        <v>201207</v>
      </c>
      <c r="F530" s="22">
        <v>2012</v>
      </c>
    </row>
    <row r="531" spans="1:6" ht="15.75">
      <c r="A531" s="22" t="s">
        <v>1441</v>
      </c>
      <c r="B531" s="26">
        <v>41112</v>
      </c>
      <c r="C531" s="27">
        <v>0</v>
      </c>
      <c r="D531" s="25" t="str">
        <f t="shared" si="16"/>
        <v>201229</v>
      </c>
      <c r="E531" s="22" t="str">
        <f t="shared" ca="1" si="17"/>
        <v>201207</v>
      </c>
      <c r="F531" s="22">
        <v>2012</v>
      </c>
    </row>
    <row r="532" spans="1:6" ht="15.75">
      <c r="A532" s="22" t="s">
        <v>1441</v>
      </c>
      <c r="B532" s="26">
        <v>41113</v>
      </c>
      <c r="C532" s="27">
        <v>0</v>
      </c>
      <c r="D532" s="25" t="str">
        <f t="shared" si="16"/>
        <v>201230</v>
      </c>
      <c r="E532" s="22" t="str">
        <f t="shared" ca="1" si="17"/>
        <v>201207</v>
      </c>
      <c r="F532" s="22">
        <v>2012</v>
      </c>
    </row>
    <row r="533" spans="1:6" ht="15.75">
      <c r="A533" s="22" t="s">
        <v>1441</v>
      </c>
      <c r="B533" s="26">
        <v>41114</v>
      </c>
      <c r="C533" s="27">
        <v>0</v>
      </c>
      <c r="D533" s="25" t="str">
        <f t="shared" si="16"/>
        <v>201230</v>
      </c>
      <c r="E533" s="22" t="str">
        <f t="shared" ca="1" si="17"/>
        <v>201207</v>
      </c>
      <c r="F533" s="22">
        <v>2012</v>
      </c>
    </row>
    <row r="534" spans="1:6" ht="15.75">
      <c r="A534" s="22" t="s">
        <v>1441</v>
      </c>
      <c r="B534" s="26">
        <v>41115</v>
      </c>
      <c r="C534" s="27">
        <v>0</v>
      </c>
      <c r="D534" s="25" t="str">
        <f t="shared" si="16"/>
        <v>201230</v>
      </c>
      <c r="E534" s="22" t="str">
        <f t="shared" ca="1" si="17"/>
        <v>201207</v>
      </c>
      <c r="F534" s="22">
        <v>2012</v>
      </c>
    </row>
    <row r="535" spans="1:6" ht="15.75">
      <c r="A535" s="22" t="s">
        <v>1441</v>
      </c>
      <c r="B535" s="26">
        <v>41116</v>
      </c>
      <c r="C535" s="27">
        <v>0</v>
      </c>
      <c r="D535" s="25" t="str">
        <f t="shared" si="16"/>
        <v>201230</v>
      </c>
      <c r="E535" s="22" t="str">
        <f t="shared" ca="1" si="17"/>
        <v>201207</v>
      </c>
      <c r="F535" s="22">
        <v>2012</v>
      </c>
    </row>
    <row r="536" spans="1:6" ht="15.75">
      <c r="A536" s="22" t="s">
        <v>1441</v>
      </c>
      <c r="B536" s="26">
        <v>41117</v>
      </c>
      <c r="C536" s="27">
        <v>0</v>
      </c>
      <c r="D536" s="25" t="str">
        <f t="shared" si="16"/>
        <v>201230</v>
      </c>
      <c r="E536" s="22" t="str">
        <f t="shared" ca="1" si="17"/>
        <v>201207</v>
      </c>
      <c r="F536" s="22">
        <v>2012</v>
      </c>
    </row>
    <row r="537" spans="1:6" ht="15.75">
      <c r="A537" s="22" t="s">
        <v>1441</v>
      </c>
      <c r="B537" s="26">
        <v>41118</v>
      </c>
      <c r="C537" s="27">
        <v>0</v>
      </c>
      <c r="D537" s="25" t="str">
        <f t="shared" si="16"/>
        <v>201230</v>
      </c>
      <c r="E537" s="22" t="str">
        <f t="shared" ca="1" si="17"/>
        <v>201207</v>
      </c>
      <c r="F537" s="22">
        <v>2012</v>
      </c>
    </row>
    <row r="538" spans="1:6" ht="15.75">
      <c r="A538" s="22" t="s">
        <v>1441</v>
      </c>
      <c r="B538" s="26">
        <v>41119</v>
      </c>
      <c r="C538" s="27">
        <v>0</v>
      </c>
      <c r="D538" s="25" t="str">
        <f t="shared" si="16"/>
        <v>201230</v>
      </c>
      <c r="E538" s="22" t="str">
        <f t="shared" ca="1" si="17"/>
        <v>201207</v>
      </c>
      <c r="F538" s="22">
        <v>2012</v>
      </c>
    </row>
    <row r="539" spans="1:6" ht="15.75">
      <c r="A539" s="22" t="s">
        <v>1441</v>
      </c>
      <c r="B539" s="26">
        <v>41120</v>
      </c>
      <c r="C539" s="27">
        <v>0</v>
      </c>
      <c r="D539" s="25" t="str">
        <f t="shared" si="16"/>
        <v>201231</v>
      </c>
      <c r="E539" s="22" t="str">
        <f t="shared" ca="1" si="17"/>
        <v>201207</v>
      </c>
      <c r="F539" s="22">
        <v>2012</v>
      </c>
    </row>
    <row r="540" spans="1:6" ht="15.75">
      <c r="A540" s="22" t="s">
        <v>1441</v>
      </c>
      <c r="B540" s="26">
        <v>41121</v>
      </c>
      <c r="C540" s="27">
        <v>0</v>
      </c>
      <c r="D540" s="25" t="str">
        <f t="shared" si="16"/>
        <v>201231</v>
      </c>
      <c r="E540" s="22" t="str">
        <f t="shared" ca="1" si="17"/>
        <v>201207</v>
      </c>
      <c r="F540" s="22">
        <v>2012</v>
      </c>
    </row>
    <row r="541" spans="1:6" ht="15.75">
      <c r="A541" s="22" t="s">
        <v>1441</v>
      </c>
      <c r="B541" s="26">
        <v>41122</v>
      </c>
      <c r="C541" s="27">
        <v>0</v>
      </c>
      <c r="D541" s="25" t="str">
        <f t="shared" si="16"/>
        <v>201231</v>
      </c>
      <c r="E541" s="22" t="str">
        <f t="shared" ca="1" si="17"/>
        <v>201208</v>
      </c>
      <c r="F541" s="22">
        <v>2012</v>
      </c>
    </row>
    <row r="542" spans="1:6" ht="15.75">
      <c r="A542" s="22" t="s">
        <v>1441</v>
      </c>
      <c r="B542" s="26">
        <v>41123</v>
      </c>
      <c r="C542" s="27">
        <v>0</v>
      </c>
      <c r="D542" s="25" t="str">
        <f t="shared" si="16"/>
        <v>201231</v>
      </c>
      <c r="E542" s="22" t="str">
        <f t="shared" ca="1" si="17"/>
        <v>201208</v>
      </c>
      <c r="F542" s="22">
        <v>2012</v>
      </c>
    </row>
    <row r="543" spans="1:6" ht="15.75">
      <c r="A543" s="22" t="s">
        <v>1441</v>
      </c>
      <c r="B543" s="26">
        <v>41124</v>
      </c>
      <c r="C543" s="27">
        <v>0</v>
      </c>
      <c r="D543" s="25" t="str">
        <f t="shared" si="16"/>
        <v>201231</v>
      </c>
      <c r="E543" s="22" t="str">
        <f t="shared" ca="1" si="17"/>
        <v>201208</v>
      </c>
      <c r="F543" s="22">
        <v>2012</v>
      </c>
    </row>
    <row r="544" spans="1:6" ht="15.75">
      <c r="A544" s="22" t="s">
        <v>1441</v>
      </c>
      <c r="B544" s="26">
        <v>41125</v>
      </c>
      <c r="C544" s="27">
        <v>0</v>
      </c>
      <c r="D544" s="25" t="str">
        <f t="shared" si="16"/>
        <v>201231</v>
      </c>
      <c r="E544" s="22" t="str">
        <f t="shared" ca="1" si="17"/>
        <v>201208</v>
      </c>
      <c r="F544" s="22">
        <v>2012</v>
      </c>
    </row>
    <row r="545" spans="1:6" ht="15.75">
      <c r="A545" s="22" t="s">
        <v>1441</v>
      </c>
      <c r="B545" s="26">
        <v>41126</v>
      </c>
      <c r="C545" s="27">
        <v>0</v>
      </c>
      <c r="D545" s="25" t="str">
        <f t="shared" si="16"/>
        <v>201231</v>
      </c>
      <c r="E545" s="22" t="str">
        <f t="shared" ca="1" si="17"/>
        <v>201208</v>
      </c>
      <c r="F545" s="22">
        <v>2012</v>
      </c>
    </row>
    <row r="546" spans="1:6" ht="15.75">
      <c r="A546" s="22" t="s">
        <v>1441</v>
      </c>
      <c r="B546" s="26">
        <v>41127</v>
      </c>
      <c r="C546" s="27">
        <v>0</v>
      </c>
      <c r="D546" s="25" t="str">
        <f t="shared" si="16"/>
        <v>201232</v>
      </c>
      <c r="E546" s="22" t="str">
        <f t="shared" ca="1" si="17"/>
        <v>201208</v>
      </c>
      <c r="F546" s="22">
        <v>2012</v>
      </c>
    </row>
    <row r="547" spans="1:6" ht="15.75">
      <c r="A547" s="22" t="s">
        <v>1441</v>
      </c>
      <c r="B547" s="26">
        <v>41128</v>
      </c>
      <c r="C547" s="27">
        <v>0</v>
      </c>
      <c r="D547" s="25" t="str">
        <f t="shared" si="16"/>
        <v>201232</v>
      </c>
      <c r="E547" s="22" t="str">
        <f t="shared" ca="1" si="17"/>
        <v>201208</v>
      </c>
      <c r="F547" s="22">
        <v>2012</v>
      </c>
    </row>
    <row r="548" spans="1:6" ht="15.75">
      <c r="A548" s="22" t="s">
        <v>1441</v>
      </c>
      <c r="B548" s="26">
        <v>41129</v>
      </c>
      <c r="C548" s="27">
        <v>0</v>
      </c>
      <c r="D548" s="25" t="str">
        <f t="shared" si="16"/>
        <v>201232</v>
      </c>
      <c r="E548" s="22" t="str">
        <f t="shared" ca="1" si="17"/>
        <v>201208</v>
      </c>
      <c r="F548" s="22">
        <v>2012</v>
      </c>
    </row>
    <row r="549" spans="1:6" ht="15.75">
      <c r="A549" s="22" t="s">
        <v>1441</v>
      </c>
      <c r="B549" s="26">
        <v>41130</v>
      </c>
      <c r="C549" s="27">
        <v>0</v>
      </c>
      <c r="D549" s="25" t="str">
        <f t="shared" si="16"/>
        <v>201232</v>
      </c>
      <c r="E549" s="22" t="str">
        <f t="shared" ca="1" si="17"/>
        <v>201208</v>
      </c>
      <c r="F549" s="22">
        <v>2012</v>
      </c>
    </row>
    <row r="550" spans="1:6" ht="15.75">
      <c r="A550" s="22" t="s">
        <v>1441</v>
      </c>
      <c r="B550" s="26">
        <v>41131</v>
      </c>
      <c r="C550" s="27">
        <v>0</v>
      </c>
      <c r="D550" s="25" t="str">
        <f t="shared" si="16"/>
        <v>201232</v>
      </c>
      <c r="E550" s="22" t="str">
        <f t="shared" ca="1" si="17"/>
        <v>201208</v>
      </c>
      <c r="F550" s="22">
        <v>2012</v>
      </c>
    </row>
    <row r="551" spans="1:6" ht="15.75">
      <c r="A551" s="22" t="s">
        <v>1441</v>
      </c>
      <c r="B551" s="26">
        <v>41132</v>
      </c>
      <c r="C551" s="27">
        <v>0</v>
      </c>
      <c r="D551" s="25" t="str">
        <f t="shared" si="16"/>
        <v>201232</v>
      </c>
      <c r="E551" s="22" t="str">
        <f t="shared" ca="1" si="17"/>
        <v>201208</v>
      </c>
      <c r="F551" s="22">
        <v>2012</v>
      </c>
    </row>
    <row r="552" spans="1:6" ht="15.75">
      <c r="A552" s="22" t="s">
        <v>1441</v>
      </c>
      <c r="B552" s="26">
        <v>41133</v>
      </c>
      <c r="C552" s="27">
        <v>0</v>
      </c>
      <c r="D552" s="25" t="str">
        <f t="shared" si="16"/>
        <v>201232</v>
      </c>
      <c r="E552" s="22" t="str">
        <f t="shared" ca="1" si="17"/>
        <v>201208</v>
      </c>
      <c r="F552" s="22">
        <v>2012</v>
      </c>
    </row>
    <row r="553" spans="1:6" ht="15.75">
      <c r="A553" s="22" t="s">
        <v>1441</v>
      </c>
      <c r="B553" s="26">
        <v>41134</v>
      </c>
      <c r="C553" s="27">
        <v>0</v>
      </c>
      <c r="D553" s="25" t="str">
        <f t="shared" si="16"/>
        <v>201233</v>
      </c>
      <c r="E553" s="22" t="str">
        <f t="shared" ca="1" si="17"/>
        <v>201208</v>
      </c>
      <c r="F553" s="22">
        <v>2012</v>
      </c>
    </row>
    <row r="554" spans="1:6" ht="15.75">
      <c r="A554" s="22" t="s">
        <v>1441</v>
      </c>
      <c r="B554" s="26">
        <v>41135</v>
      </c>
      <c r="C554" s="27">
        <v>0</v>
      </c>
      <c r="D554" s="25" t="str">
        <f t="shared" si="16"/>
        <v>201233</v>
      </c>
      <c r="E554" s="22" t="str">
        <f t="shared" ca="1" si="17"/>
        <v>201208</v>
      </c>
      <c r="F554" s="22">
        <v>2012</v>
      </c>
    </row>
    <row r="555" spans="1:6" ht="15.75">
      <c r="A555" s="22" t="s">
        <v>1441</v>
      </c>
      <c r="B555" s="26">
        <v>41136</v>
      </c>
      <c r="C555" s="27">
        <v>0</v>
      </c>
      <c r="D555" s="25" t="str">
        <f t="shared" si="16"/>
        <v>201233</v>
      </c>
      <c r="E555" s="22" t="str">
        <f t="shared" ca="1" si="17"/>
        <v>201208</v>
      </c>
      <c r="F555" s="22">
        <v>2012</v>
      </c>
    </row>
    <row r="556" spans="1:6" ht="15.75">
      <c r="A556" s="22" t="s">
        <v>1441</v>
      </c>
      <c r="B556" s="26">
        <v>41137</v>
      </c>
      <c r="C556" s="27">
        <v>0</v>
      </c>
      <c r="D556" s="25" t="str">
        <f t="shared" si="16"/>
        <v>201233</v>
      </c>
      <c r="E556" s="22" t="str">
        <f t="shared" ca="1" si="17"/>
        <v>201208</v>
      </c>
      <c r="F556" s="22">
        <v>2012</v>
      </c>
    </row>
    <row r="557" spans="1:6" ht="15.75">
      <c r="A557" s="22" t="s">
        <v>1441</v>
      </c>
      <c r="B557" s="26">
        <v>41138</v>
      </c>
      <c r="C557" s="27">
        <v>0</v>
      </c>
      <c r="D557" s="25" t="str">
        <f t="shared" si="16"/>
        <v>201233</v>
      </c>
      <c r="E557" s="22" t="str">
        <f t="shared" ca="1" si="17"/>
        <v>201208</v>
      </c>
      <c r="F557" s="22">
        <v>2012</v>
      </c>
    </row>
    <row r="558" spans="1:6" ht="15.75">
      <c r="A558" s="22" t="s">
        <v>1441</v>
      </c>
      <c r="B558" s="26">
        <v>41139</v>
      </c>
      <c r="C558" s="27">
        <v>0</v>
      </c>
      <c r="D558" s="25" t="str">
        <f t="shared" si="16"/>
        <v>201233</v>
      </c>
      <c r="E558" s="22" t="str">
        <f t="shared" ca="1" si="17"/>
        <v>201208</v>
      </c>
      <c r="F558" s="22">
        <v>2012</v>
      </c>
    </row>
    <row r="559" spans="1:6" ht="15.75">
      <c r="A559" s="22" t="s">
        <v>1441</v>
      </c>
      <c r="B559" s="26">
        <v>41140</v>
      </c>
      <c r="C559" s="27">
        <v>0</v>
      </c>
      <c r="D559" s="25" t="str">
        <f t="shared" si="16"/>
        <v>201233</v>
      </c>
      <c r="E559" s="22" t="str">
        <f t="shared" ca="1" si="17"/>
        <v>201208</v>
      </c>
      <c r="F559" s="22">
        <v>2012</v>
      </c>
    </row>
    <row r="560" spans="1:6" ht="15.75">
      <c r="A560" s="22" t="s">
        <v>1441</v>
      </c>
      <c r="B560" s="26">
        <v>41141</v>
      </c>
      <c r="C560" s="27">
        <v>0</v>
      </c>
      <c r="D560" s="25" t="str">
        <f t="shared" si="16"/>
        <v>201234</v>
      </c>
      <c r="E560" s="22" t="str">
        <f t="shared" ca="1" si="17"/>
        <v>201208</v>
      </c>
      <c r="F560" s="22">
        <v>2012</v>
      </c>
    </row>
    <row r="561" spans="1:6" ht="15.75">
      <c r="A561" s="22" t="s">
        <v>1441</v>
      </c>
      <c r="B561" s="26">
        <v>41142</v>
      </c>
      <c r="C561" s="27">
        <v>0</v>
      </c>
      <c r="D561" s="25" t="str">
        <f t="shared" si="16"/>
        <v>201234</v>
      </c>
      <c r="E561" s="22" t="str">
        <f t="shared" ca="1" si="17"/>
        <v>201208</v>
      </c>
      <c r="F561" s="22">
        <v>2012</v>
      </c>
    </row>
    <row r="562" spans="1:6" ht="15.75">
      <c r="A562" s="22" t="s">
        <v>1441</v>
      </c>
      <c r="B562" s="26">
        <v>41143</v>
      </c>
      <c r="C562" s="27">
        <v>0</v>
      </c>
      <c r="D562" s="25" t="str">
        <f t="shared" si="16"/>
        <v>201234</v>
      </c>
      <c r="E562" s="22" t="str">
        <f t="shared" ca="1" si="17"/>
        <v>201208</v>
      </c>
      <c r="F562" s="22">
        <v>2012</v>
      </c>
    </row>
    <row r="563" spans="1:6" ht="15.75">
      <c r="A563" s="22" t="s">
        <v>1441</v>
      </c>
      <c r="B563" s="26">
        <v>41144</v>
      </c>
      <c r="C563" s="27">
        <v>0</v>
      </c>
      <c r="D563" s="25" t="str">
        <f t="shared" si="16"/>
        <v>201234</v>
      </c>
      <c r="E563" s="22" t="str">
        <f t="shared" ca="1" si="17"/>
        <v>201208</v>
      </c>
      <c r="F563" s="22">
        <v>2012</v>
      </c>
    </row>
    <row r="564" spans="1:6" ht="15.75">
      <c r="A564" s="22" t="s">
        <v>1441</v>
      </c>
      <c r="B564" s="26">
        <v>41145</v>
      </c>
      <c r="C564" s="27">
        <v>0</v>
      </c>
      <c r="D564" s="25" t="str">
        <f t="shared" si="16"/>
        <v>201234</v>
      </c>
      <c r="E564" s="22" t="str">
        <f t="shared" ca="1" si="17"/>
        <v>201208</v>
      </c>
      <c r="F564" s="22">
        <v>2012</v>
      </c>
    </row>
    <row r="565" spans="1:6" ht="15.75">
      <c r="A565" s="22" t="s">
        <v>1441</v>
      </c>
      <c r="B565" s="26">
        <v>41146</v>
      </c>
      <c r="C565" s="27">
        <v>0</v>
      </c>
      <c r="D565" s="25" t="str">
        <f t="shared" si="16"/>
        <v>201234</v>
      </c>
      <c r="E565" s="22" t="str">
        <f t="shared" ca="1" si="17"/>
        <v>201208</v>
      </c>
      <c r="F565" s="22">
        <v>2012</v>
      </c>
    </row>
    <row r="566" spans="1:6" ht="15.75">
      <c r="A566" s="22" t="s">
        <v>1441</v>
      </c>
      <c r="B566" s="26">
        <v>41147</v>
      </c>
      <c r="C566" s="27">
        <v>0</v>
      </c>
      <c r="D566" s="25" t="str">
        <f t="shared" si="16"/>
        <v>201234</v>
      </c>
      <c r="E566" s="22" t="str">
        <f t="shared" ca="1" si="17"/>
        <v>201208</v>
      </c>
      <c r="F566" s="22">
        <v>2012</v>
      </c>
    </row>
    <row r="567" spans="1:6" ht="15.75">
      <c r="A567" s="22" t="s">
        <v>1441</v>
      </c>
      <c r="B567" s="26">
        <v>41148</v>
      </c>
      <c r="C567" s="27">
        <v>0</v>
      </c>
      <c r="D567" s="25" t="str">
        <f t="shared" si="16"/>
        <v>201235</v>
      </c>
      <c r="E567" s="22" t="str">
        <f t="shared" ca="1" si="17"/>
        <v>201208</v>
      </c>
      <c r="F567" s="22">
        <v>2012</v>
      </c>
    </row>
    <row r="568" spans="1:6" ht="15.75">
      <c r="A568" s="22" t="s">
        <v>1441</v>
      </c>
      <c r="B568" s="26">
        <v>41149</v>
      </c>
      <c r="C568" s="27">
        <v>0</v>
      </c>
      <c r="D568" s="25" t="str">
        <f t="shared" si="16"/>
        <v>201235</v>
      </c>
      <c r="E568" s="22" t="str">
        <f t="shared" ca="1" si="17"/>
        <v>201208</v>
      </c>
      <c r="F568" s="22">
        <v>2012</v>
      </c>
    </row>
    <row r="569" spans="1:6" ht="15.75">
      <c r="A569" s="22" t="s">
        <v>1441</v>
      </c>
      <c r="B569" s="26">
        <v>41150</v>
      </c>
      <c r="C569" s="27">
        <v>0</v>
      </c>
      <c r="D569" s="25" t="str">
        <f t="shared" si="16"/>
        <v>201235</v>
      </c>
      <c r="E569" s="22" t="str">
        <f t="shared" ca="1" si="17"/>
        <v>201208</v>
      </c>
      <c r="F569" s="22">
        <v>2012</v>
      </c>
    </row>
    <row r="570" spans="1:6" ht="15.75">
      <c r="A570" s="22" t="s">
        <v>1441</v>
      </c>
      <c r="B570" s="26">
        <v>41151</v>
      </c>
      <c r="C570" s="27">
        <v>0</v>
      </c>
      <c r="D570" s="25" t="str">
        <f t="shared" si="16"/>
        <v>201235</v>
      </c>
      <c r="E570" s="22" t="str">
        <f t="shared" ca="1" si="17"/>
        <v>201208</v>
      </c>
      <c r="F570" s="22">
        <v>2012</v>
      </c>
    </row>
    <row r="571" spans="1:6" ht="15.75">
      <c r="A571" s="22" t="s">
        <v>1441</v>
      </c>
      <c r="B571" s="26">
        <v>41152</v>
      </c>
      <c r="C571" s="27">
        <v>0</v>
      </c>
      <c r="D571" s="25" t="str">
        <f t="shared" si="16"/>
        <v>201235</v>
      </c>
      <c r="E571" s="22" t="str">
        <f t="shared" ca="1" si="17"/>
        <v>201208</v>
      </c>
      <c r="F571" s="22">
        <v>2012</v>
      </c>
    </row>
    <row r="572" spans="1:6" ht="15.75">
      <c r="A572" s="22" t="s">
        <v>1441</v>
      </c>
      <c r="B572" s="26">
        <v>41153</v>
      </c>
      <c r="C572" s="27">
        <v>0</v>
      </c>
      <c r="D572" s="25" t="str">
        <f t="shared" si="16"/>
        <v>201235</v>
      </c>
      <c r="E572" s="22" t="str">
        <f t="shared" ca="1" si="17"/>
        <v>201209</v>
      </c>
      <c r="F572" s="22">
        <v>2012</v>
      </c>
    </row>
    <row r="573" spans="1:6" ht="15.75">
      <c r="A573" s="22" t="s">
        <v>1441</v>
      </c>
      <c r="B573" s="26">
        <v>41154</v>
      </c>
      <c r="C573" s="27">
        <v>0</v>
      </c>
      <c r="D573" s="25" t="str">
        <f t="shared" si="16"/>
        <v>201235</v>
      </c>
      <c r="E573" s="22" t="str">
        <f t="shared" ca="1" si="17"/>
        <v>201209</v>
      </c>
      <c r="F573" s="22">
        <v>2012</v>
      </c>
    </row>
    <row r="574" spans="1:6" ht="15.75">
      <c r="A574" s="22" t="s">
        <v>1441</v>
      </c>
      <c r="B574" s="26">
        <v>41155</v>
      </c>
      <c r="C574" s="27">
        <v>0</v>
      </c>
      <c r="D574" s="25" t="str">
        <f t="shared" si="16"/>
        <v>201236</v>
      </c>
      <c r="E574" s="22" t="str">
        <f t="shared" ca="1" si="17"/>
        <v>201209</v>
      </c>
      <c r="F574" s="22">
        <v>2012</v>
      </c>
    </row>
    <row r="575" spans="1:6" ht="15.75">
      <c r="A575" s="22" t="s">
        <v>1441</v>
      </c>
      <c r="B575" s="26">
        <v>41156</v>
      </c>
      <c r="C575" s="27">
        <v>0</v>
      </c>
      <c r="D575" s="25" t="str">
        <f t="shared" si="16"/>
        <v>201236</v>
      </c>
      <c r="E575" s="22" t="str">
        <f t="shared" ca="1" si="17"/>
        <v>201209</v>
      </c>
      <c r="F575" s="22">
        <v>2012</v>
      </c>
    </row>
    <row r="576" spans="1:6" ht="15.75">
      <c r="A576" s="22" t="s">
        <v>1441</v>
      </c>
      <c r="B576" s="26">
        <v>41157</v>
      </c>
      <c r="C576" s="27">
        <v>0</v>
      </c>
      <c r="D576" s="25" t="str">
        <f t="shared" si="16"/>
        <v>201236</v>
      </c>
      <c r="E576" s="22" t="str">
        <f t="shared" ca="1" si="17"/>
        <v>201209</v>
      </c>
      <c r="F576" s="22">
        <v>2012</v>
      </c>
    </row>
    <row r="577" spans="1:6" ht="15.75">
      <c r="A577" s="22" t="s">
        <v>1441</v>
      </c>
      <c r="B577" s="26">
        <v>41158</v>
      </c>
      <c r="C577" s="27">
        <v>0</v>
      </c>
      <c r="D577" s="25" t="str">
        <f t="shared" si="16"/>
        <v>201236</v>
      </c>
      <c r="E577" s="22" t="str">
        <f t="shared" ca="1" si="17"/>
        <v>201209</v>
      </c>
      <c r="F577" s="22">
        <v>2012</v>
      </c>
    </row>
    <row r="578" spans="1:6" ht="15.75">
      <c r="A578" s="22" t="s">
        <v>1441</v>
      </c>
      <c r="B578" s="26">
        <v>41159</v>
      </c>
      <c r="C578" s="27">
        <v>0</v>
      </c>
      <c r="D578" s="25" t="str">
        <f t="shared" si="16"/>
        <v>201236</v>
      </c>
      <c r="E578" s="22" t="str">
        <f t="shared" ca="1" si="17"/>
        <v>201209</v>
      </c>
      <c r="F578" s="22">
        <v>2012</v>
      </c>
    </row>
    <row r="579" spans="1:6" ht="15.75">
      <c r="A579" s="22" t="s">
        <v>1441</v>
      </c>
      <c r="B579" s="26">
        <v>41160</v>
      </c>
      <c r="C579" s="27">
        <v>0</v>
      </c>
      <c r="D579" s="25" t="str">
        <f t="shared" ref="D579:D642" si="18">CONCATENATE(YEAR(B579-WEEKDAY(B579,3)+3),TEXT(WEEKNUM(B579,21),"00"))</f>
        <v>201236</v>
      </c>
      <c r="E579" s="22" t="str">
        <f t="shared" ref="E579:E642" ca="1" si="19">IF(
  AND(
    YEAR(B579)=YEAR(TODAY())-1,
    MONTH(B579)=MONTH(TODAY()),
    DAY(B579)&gt;DAY($H$2)
  ),
  0,
  CONCATENATE(YEAR(B579),TEXT(MONTH(B579),"00"))
)</f>
        <v>201209</v>
      </c>
      <c r="F579" s="22">
        <v>2012</v>
      </c>
    </row>
    <row r="580" spans="1:6" ht="15.75">
      <c r="A580" s="22" t="s">
        <v>1441</v>
      </c>
      <c r="B580" s="26">
        <v>41161</v>
      </c>
      <c r="C580" s="27">
        <v>0</v>
      </c>
      <c r="D580" s="25" t="str">
        <f t="shared" si="18"/>
        <v>201236</v>
      </c>
      <c r="E580" s="22" t="str">
        <f t="shared" ca="1" si="19"/>
        <v>201209</v>
      </c>
      <c r="F580" s="22">
        <v>2012</v>
      </c>
    </row>
    <row r="581" spans="1:6" ht="15.75">
      <c r="A581" s="22" t="s">
        <v>1441</v>
      </c>
      <c r="B581" s="26">
        <v>41162</v>
      </c>
      <c r="C581" s="27">
        <v>0</v>
      </c>
      <c r="D581" s="25" t="str">
        <f t="shared" si="18"/>
        <v>201237</v>
      </c>
      <c r="E581" s="22" t="str">
        <f t="shared" ca="1" si="19"/>
        <v>201209</v>
      </c>
      <c r="F581" s="22">
        <v>2012</v>
      </c>
    </row>
    <row r="582" spans="1:6" ht="15.75">
      <c r="A582" s="22" t="s">
        <v>1441</v>
      </c>
      <c r="B582" s="26">
        <v>41163</v>
      </c>
      <c r="C582" s="27">
        <v>0</v>
      </c>
      <c r="D582" s="25" t="str">
        <f t="shared" si="18"/>
        <v>201237</v>
      </c>
      <c r="E582" s="22" t="str">
        <f t="shared" ca="1" si="19"/>
        <v>201209</v>
      </c>
      <c r="F582" s="22">
        <v>2012</v>
      </c>
    </row>
    <row r="583" spans="1:6" ht="15.75">
      <c r="A583" s="22" t="s">
        <v>1441</v>
      </c>
      <c r="B583" s="26">
        <v>41164</v>
      </c>
      <c r="C583" s="27">
        <v>0</v>
      </c>
      <c r="D583" s="25" t="str">
        <f t="shared" si="18"/>
        <v>201237</v>
      </c>
      <c r="E583" s="22" t="str">
        <f t="shared" ca="1" si="19"/>
        <v>201209</v>
      </c>
      <c r="F583" s="22">
        <v>2012</v>
      </c>
    </row>
    <row r="584" spans="1:6" ht="15.75">
      <c r="A584" s="22" t="s">
        <v>1441</v>
      </c>
      <c r="B584" s="26">
        <v>41165</v>
      </c>
      <c r="C584" s="27">
        <v>0</v>
      </c>
      <c r="D584" s="25" t="str">
        <f t="shared" si="18"/>
        <v>201237</v>
      </c>
      <c r="E584" s="22" t="str">
        <f t="shared" ca="1" si="19"/>
        <v>201209</v>
      </c>
      <c r="F584" s="22">
        <v>2012</v>
      </c>
    </row>
    <row r="585" spans="1:6" ht="15.75">
      <c r="A585" s="22" t="s">
        <v>1441</v>
      </c>
      <c r="B585" s="26">
        <v>41166</v>
      </c>
      <c r="C585" s="27">
        <v>0</v>
      </c>
      <c r="D585" s="25" t="str">
        <f t="shared" si="18"/>
        <v>201237</v>
      </c>
      <c r="E585" s="22" t="str">
        <f t="shared" ca="1" si="19"/>
        <v>201209</v>
      </c>
      <c r="F585" s="22">
        <v>2012</v>
      </c>
    </row>
    <row r="586" spans="1:6" ht="15.75">
      <c r="A586" s="22" t="s">
        <v>1441</v>
      </c>
      <c r="B586" s="26">
        <v>41167</v>
      </c>
      <c r="C586" s="27">
        <v>0</v>
      </c>
      <c r="D586" s="25" t="str">
        <f t="shared" si="18"/>
        <v>201237</v>
      </c>
      <c r="E586" s="22" t="str">
        <f t="shared" ca="1" si="19"/>
        <v>201209</v>
      </c>
      <c r="F586" s="22">
        <v>2012</v>
      </c>
    </row>
    <row r="587" spans="1:6" ht="15.75">
      <c r="A587" s="22" t="s">
        <v>1441</v>
      </c>
      <c r="B587" s="26">
        <v>41168</v>
      </c>
      <c r="C587" s="27">
        <v>0</v>
      </c>
      <c r="D587" s="25" t="str">
        <f t="shared" si="18"/>
        <v>201237</v>
      </c>
      <c r="E587" s="22" t="str">
        <f t="shared" ca="1" si="19"/>
        <v>201209</v>
      </c>
      <c r="F587" s="22">
        <v>2012</v>
      </c>
    </row>
    <row r="588" spans="1:6" ht="15.75">
      <c r="A588" s="22" t="s">
        <v>1441</v>
      </c>
      <c r="B588" s="26">
        <v>41169</v>
      </c>
      <c r="C588" s="27">
        <v>0</v>
      </c>
      <c r="D588" s="25" t="str">
        <f t="shared" si="18"/>
        <v>201238</v>
      </c>
      <c r="E588" s="22" t="str">
        <f t="shared" ca="1" si="19"/>
        <v>201209</v>
      </c>
      <c r="F588" s="22">
        <v>2012</v>
      </c>
    </row>
    <row r="589" spans="1:6" ht="15.75">
      <c r="A589" s="22" t="s">
        <v>1441</v>
      </c>
      <c r="B589" s="26">
        <v>41170</v>
      </c>
      <c r="C589" s="27">
        <v>0</v>
      </c>
      <c r="D589" s="25" t="str">
        <f t="shared" si="18"/>
        <v>201238</v>
      </c>
      <c r="E589" s="22" t="str">
        <f t="shared" ca="1" si="19"/>
        <v>201209</v>
      </c>
      <c r="F589" s="22">
        <v>2012</v>
      </c>
    </row>
    <row r="590" spans="1:6" ht="15.75">
      <c r="A590" s="22" t="s">
        <v>1441</v>
      </c>
      <c r="B590" s="26">
        <v>41171</v>
      </c>
      <c r="C590" s="27">
        <v>0</v>
      </c>
      <c r="D590" s="25" t="str">
        <f t="shared" si="18"/>
        <v>201238</v>
      </c>
      <c r="E590" s="22" t="str">
        <f t="shared" ca="1" si="19"/>
        <v>201209</v>
      </c>
      <c r="F590" s="22">
        <v>2012</v>
      </c>
    </row>
    <row r="591" spans="1:6" ht="15.75">
      <c r="A591" s="22" t="s">
        <v>1441</v>
      </c>
      <c r="B591" s="26">
        <v>41172</v>
      </c>
      <c r="C591" s="27">
        <v>0</v>
      </c>
      <c r="D591" s="25" t="str">
        <f t="shared" si="18"/>
        <v>201238</v>
      </c>
      <c r="E591" s="22" t="str">
        <f t="shared" ca="1" si="19"/>
        <v>201209</v>
      </c>
      <c r="F591" s="22">
        <v>2012</v>
      </c>
    </row>
    <row r="592" spans="1:6" ht="15.75">
      <c r="A592" s="22" t="s">
        <v>1441</v>
      </c>
      <c r="B592" s="26">
        <v>41173</v>
      </c>
      <c r="C592" s="27">
        <v>0</v>
      </c>
      <c r="D592" s="25" t="str">
        <f t="shared" si="18"/>
        <v>201238</v>
      </c>
      <c r="E592" s="22" t="str">
        <f t="shared" ca="1" si="19"/>
        <v>201209</v>
      </c>
      <c r="F592" s="22">
        <v>2012</v>
      </c>
    </row>
    <row r="593" spans="1:6" ht="15.75">
      <c r="A593" s="22" t="s">
        <v>1441</v>
      </c>
      <c r="B593" s="26">
        <v>41174</v>
      </c>
      <c r="C593" s="27">
        <v>0</v>
      </c>
      <c r="D593" s="25" t="str">
        <f t="shared" si="18"/>
        <v>201238</v>
      </c>
      <c r="E593" s="22" t="str">
        <f t="shared" ca="1" si="19"/>
        <v>201209</v>
      </c>
      <c r="F593" s="22">
        <v>2012</v>
      </c>
    </row>
    <row r="594" spans="1:6" ht="15.75">
      <c r="A594" s="22" t="s">
        <v>1441</v>
      </c>
      <c r="B594" s="26">
        <v>41175</v>
      </c>
      <c r="C594" s="27">
        <v>0</v>
      </c>
      <c r="D594" s="25" t="str">
        <f t="shared" si="18"/>
        <v>201238</v>
      </c>
      <c r="E594" s="22" t="str">
        <f t="shared" ca="1" si="19"/>
        <v>201209</v>
      </c>
      <c r="F594" s="22">
        <v>2012</v>
      </c>
    </row>
    <row r="595" spans="1:6" ht="15.75">
      <c r="A595" s="22" t="s">
        <v>1441</v>
      </c>
      <c r="B595" s="26">
        <v>41176</v>
      </c>
      <c r="C595" s="27">
        <v>0</v>
      </c>
      <c r="D595" s="25" t="str">
        <f t="shared" si="18"/>
        <v>201239</v>
      </c>
      <c r="E595" s="22" t="str">
        <f t="shared" ca="1" si="19"/>
        <v>201209</v>
      </c>
      <c r="F595" s="22">
        <v>2012</v>
      </c>
    </row>
    <row r="596" spans="1:6" ht="15.75">
      <c r="A596" s="22" t="s">
        <v>1441</v>
      </c>
      <c r="B596" s="26">
        <v>41177</v>
      </c>
      <c r="C596" s="27">
        <v>0</v>
      </c>
      <c r="D596" s="25" t="str">
        <f t="shared" si="18"/>
        <v>201239</v>
      </c>
      <c r="E596" s="22" t="str">
        <f t="shared" ca="1" si="19"/>
        <v>201209</v>
      </c>
      <c r="F596" s="22">
        <v>2012</v>
      </c>
    </row>
    <row r="597" spans="1:6" ht="15.75">
      <c r="A597" s="22" t="s">
        <v>1441</v>
      </c>
      <c r="B597" s="26">
        <v>41178</v>
      </c>
      <c r="C597" s="27">
        <v>0</v>
      </c>
      <c r="D597" s="25" t="str">
        <f t="shared" si="18"/>
        <v>201239</v>
      </c>
      <c r="E597" s="22" t="str">
        <f t="shared" ca="1" si="19"/>
        <v>201209</v>
      </c>
      <c r="F597" s="22">
        <v>2012</v>
      </c>
    </row>
    <row r="598" spans="1:6" ht="15.75">
      <c r="A598" s="22" t="s">
        <v>1441</v>
      </c>
      <c r="B598" s="26">
        <v>41179</v>
      </c>
      <c r="C598" s="27">
        <v>0</v>
      </c>
      <c r="D598" s="25" t="str">
        <f t="shared" si="18"/>
        <v>201239</v>
      </c>
      <c r="E598" s="22" t="str">
        <f t="shared" ca="1" si="19"/>
        <v>201209</v>
      </c>
      <c r="F598" s="22">
        <v>2012</v>
      </c>
    </row>
    <row r="599" spans="1:6" ht="15.75">
      <c r="A599" s="22" t="s">
        <v>1441</v>
      </c>
      <c r="B599" s="26">
        <v>41180</v>
      </c>
      <c r="C599" s="27">
        <v>0</v>
      </c>
      <c r="D599" s="25" t="str">
        <f t="shared" si="18"/>
        <v>201239</v>
      </c>
      <c r="E599" s="22" t="str">
        <f t="shared" ca="1" si="19"/>
        <v>201209</v>
      </c>
      <c r="F599" s="22">
        <v>2012</v>
      </c>
    </row>
    <row r="600" spans="1:6" ht="15.75">
      <c r="A600" s="22" t="s">
        <v>1441</v>
      </c>
      <c r="B600" s="26">
        <v>41181</v>
      </c>
      <c r="C600" s="27">
        <v>0</v>
      </c>
      <c r="D600" s="25" t="str">
        <f t="shared" si="18"/>
        <v>201239</v>
      </c>
      <c r="E600" s="22" t="str">
        <f t="shared" ca="1" si="19"/>
        <v>201209</v>
      </c>
      <c r="F600" s="22">
        <v>2012</v>
      </c>
    </row>
    <row r="601" spans="1:6" ht="15.75">
      <c r="A601" s="22" t="s">
        <v>1441</v>
      </c>
      <c r="B601" s="26">
        <v>41182</v>
      </c>
      <c r="C601" s="27">
        <v>0</v>
      </c>
      <c r="D601" s="25" t="str">
        <f t="shared" si="18"/>
        <v>201239</v>
      </c>
      <c r="E601" s="22" t="str">
        <f t="shared" ca="1" si="19"/>
        <v>201209</v>
      </c>
      <c r="F601" s="22">
        <v>2012</v>
      </c>
    </row>
    <row r="602" spans="1:6" ht="15.75">
      <c r="A602" s="22" t="s">
        <v>1441</v>
      </c>
      <c r="B602" s="26">
        <v>41183</v>
      </c>
      <c r="C602" s="27">
        <v>0</v>
      </c>
      <c r="D602" s="25" t="str">
        <f t="shared" si="18"/>
        <v>201240</v>
      </c>
      <c r="E602" s="22" t="str">
        <f t="shared" ca="1" si="19"/>
        <v>201210</v>
      </c>
      <c r="F602" s="22">
        <v>2012</v>
      </c>
    </row>
    <row r="603" spans="1:6" ht="15.75">
      <c r="A603" s="22" t="s">
        <v>1441</v>
      </c>
      <c r="B603" s="26">
        <v>41184</v>
      </c>
      <c r="C603" s="27">
        <v>0</v>
      </c>
      <c r="D603" s="25" t="str">
        <f t="shared" si="18"/>
        <v>201240</v>
      </c>
      <c r="E603" s="22" t="str">
        <f t="shared" ca="1" si="19"/>
        <v>201210</v>
      </c>
      <c r="F603" s="22">
        <v>2012</v>
      </c>
    </row>
    <row r="604" spans="1:6" ht="15.75">
      <c r="A604" s="22" t="s">
        <v>1441</v>
      </c>
      <c r="B604" s="26">
        <v>41185</v>
      </c>
      <c r="C604" s="27">
        <v>0</v>
      </c>
      <c r="D604" s="25" t="str">
        <f t="shared" si="18"/>
        <v>201240</v>
      </c>
      <c r="E604" s="22" t="str">
        <f t="shared" ca="1" si="19"/>
        <v>201210</v>
      </c>
      <c r="F604" s="22">
        <v>2012</v>
      </c>
    </row>
    <row r="605" spans="1:6" ht="15.75">
      <c r="A605" s="22" t="s">
        <v>1441</v>
      </c>
      <c r="B605" s="26">
        <v>41186</v>
      </c>
      <c r="C605" s="27">
        <v>0</v>
      </c>
      <c r="D605" s="25" t="str">
        <f t="shared" si="18"/>
        <v>201240</v>
      </c>
      <c r="E605" s="22" t="str">
        <f t="shared" ca="1" si="19"/>
        <v>201210</v>
      </c>
      <c r="F605" s="22">
        <v>2012</v>
      </c>
    </row>
    <row r="606" spans="1:6" ht="15.75">
      <c r="A606" s="22" t="s">
        <v>1441</v>
      </c>
      <c r="B606" s="26">
        <v>41187</v>
      </c>
      <c r="C606" s="27">
        <v>0</v>
      </c>
      <c r="D606" s="25" t="str">
        <f t="shared" si="18"/>
        <v>201240</v>
      </c>
      <c r="E606" s="22" t="str">
        <f t="shared" ca="1" si="19"/>
        <v>201210</v>
      </c>
      <c r="F606" s="22">
        <v>2012</v>
      </c>
    </row>
    <row r="607" spans="1:6" ht="15.75">
      <c r="A607" s="22" t="s">
        <v>1441</v>
      </c>
      <c r="B607" s="26">
        <v>41188</v>
      </c>
      <c r="C607" s="27">
        <v>0</v>
      </c>
      <c r="D607" s="25" t="str">
        <f t="shared" si="18"/>
        <v>201240</v>
      </c>
      <c r="E607" s="22" t="str">
        <f t="shared" ca="1" si="19"/>
        <v>201210</v>
      </c>
      <c r="F607" s="22">
        <v>2012</v>
      </c>
    </row>
    <row r="608" spans="1:6" ht="15.75">
      <c r="A608" s="22" t="s">
        <v>1441</v>
      </c>
      <c r="B608" s="26">
        <v>41189</v>
      </c>
      <c r="C608" s="27">
        <v>0</v>
      </c>
      <c r="D608" s="25" t="str">
        <f t="shared" si="18"/>
        <v>201240</v>
      </c>
      <c r="E608" s="22" t="str">
        <f t="shared" ca="1" si="19"/>
        <v>201210</v>
      </c>
      <c r="F608" s="22">
        <v>2012</v>
      </c>
    </row>
    <row r="609" spans="1:6" ht="15.75">
      <c r="A609" s="22" t="s">
        <v>1441</v>
      </c>
      <c r="B609" s="26">
        <v>41190</v>
      </c>
      <c r="C609" s="27">
        <v>0</v>
      </c>
      <c r="D609" s="25" t="str">
        <f t="shared" si="18"/>
        <v>201241</v>
      </c>
      <c r="E609" s="22" t="str">
        <f t="shared" ca="1" si="19"/>
        <v>201210</v>
      </c>
      <c r="F609" s="22">
        <v>2012</v>
      </c>
    </row>
    <row r="610" spans="1:6" ht="15.75">
      <c r="A610" s="22" t="s">
        <v>1441</v>
      </c>
      <c r="B610" s="26">
        <v>41191</v>
      </c>
      <c r="C610" s="27">
        <v>0</v>
      </c>
      <c r="D610" s="25" t="str">
        <f t="shared" si="18"/>
        <v>201241</v>
      </c>
      <c r="E610" s="22" t="str">
        <f t="shared" ca="1" si="19"/>
        <v>201210</v>
      </c>
      <c r="F610" s="22">
        <v>2012</v>
      </c>
    </row>
    <row r="611" spans="1:6" ht="15.75">
      <c r="A611" s="22" t="s">
        <v>1441</v>
      </c>
      <c r="B611" s="26">
        <v>41192</v>
      </c>
      <c r="C611" s="27">
        <v>0</v>
      </c>
      <c r="D611" s="25" t="str">
        <f t="shared" si="18"/>
        <v>201241</v>
      </c>
      <c r="E611" s="22" t="str">
        <f t="shared" ca="1" si="19"/>
        <v>201210</v>
      </c>
      <c r="F611" s="22">
        <v>2012</v>
      </c>
    </row>
    <row r="612" spans="1:6" ht="15.75">
      <c r="A612" s="22" t="s">
        <v>1441</v>
      </c>
      <c r="B612" s="26">
        <v>41193</v>
      </c>
      <c r="C612" s="27">
        <v>0</v>
      </c>
      <c r="D612" s="25" t="str">
        <f t="shared" si="18"/>
        <v>201241</v>
      </c>
      <c r="E612" s="22" t="str">
        <f t="shared" ca="1" si="19"/>
        <v>201210</v>
      </c>
      <c r="F612" s="22">
        <v>2012</v>
      </c>
    </row>
    <row r="613" spans="1:6" ht="15.75">
      <c r="A613" s="22" t="s">
        <v>1441</v>
      </c>
      <c r="B613" s="26">
        <v>41194</v>
      </c>
      <c r="C613" s="27">
        <v>0</v>
      </c>
      <c r="D613" s="25" t="str">
        <f t="shared" si="18"/>
        <v>201241</v>
      </c>
      <c r="E613" s="22" t="str">
        <f t="shared" ca="1" si="19"/>
        <v>201210</v>
      </c>
      <c r="F613" s="22">
        <v>2012</v>
      </c>
    </row>
    <row r="614" spans="1:6" ht="15.75">
      <c r="A614" s="22" t="s">
        <v>1441</v>
      </c>
      <c r="B614" s="26">
        <v>41195</v>
      </c>
      <c r="C614" s="27">
        <v>0</v>
      </c>
      <c r="D614" s="25" t="str">
        <f t="shared" si="18"/>
        <v>201241</v>
      </c>
      <c r="E614" s="22" t="str">
        <f t="shared" ca="1" si="19"/>
        <v>201210</v>
      </c>
      <c r="F614" s="22">
        <v>2012</v>
      </c>
    </row>
    <row r="615" spans="1:6" ht="15.75">
      <c r="A615" s="22" t="s">
        <v>1441</v>
      </c>
      <c r="B615" s="26">
        <v>41196</v>
      </c>
      <c r="C615" s="27">
        <v>0</v>
      </c>
      <c r="D615" s="25" t="str">
        <f t="shared" si="18"/>
        <v>201241</v>
      </c>
      <c r="E615" s="22" t="str">
        <f t="shared" ca="1" si="19"/>
        <v>201210</v>
      </c>
      <c r="F615" s="22">
        <v>2012</v>
      </c>
    </row>
    <row r="616" spans="1:6" ht="15.75">
      <c r="A616" s="22" t="s">
        <v>1441</v>
      </c>
      <c r="B616" s="26">
        <v>41197</v>
      </c>
      <c r="C616" s="27">
        <v>0</v>
      </c>
      <c r="D616" s="25" t="str">
        <f t="shared" si="18"/>
        <v>201242</v>
      </c>
      <c r="E616" s="22" t="str">
        <f t="shared" ca="1" si="19"/>
        <v>201210</v>
      </c>
      <c r="F616" s="22">
        <v>2012</v>
      </c>
    </row>
    <row r="617" spans="1:6" ht="15.75">
      <c r="A617" s="22" t="s">
        <v>1441</v>
      </c>
      <c r="B617" s="26">
        <v>41198</v>
      </c>
      <c r="C617" s="27">
        <v>0</v>
      </c>
      <c r="D617" s="25" t="str">
        <f t="shared" si="18"/>
        <v>201242</v>
      </c>
      <c r="E617" s="22" t="str">
        <f t="shared" ca="1" si="19"/>
        <v>201210</v>
      </c>
      <c r="F617" s="22">
        <v>2012</v>
      </c>
    </row>
    <row r="618" spans="1:6" ht="15.75">
      <c r="A618" s="22" t="s">
        <v>1441</v>
      </c>
      <c r="B618" s="26">
        <v>41199</v>
      </c>
      <c r="C618" s="27">
        <v>0</v>
      </c>
      <c r="D618" s="25" t="str">
        <f t="shared" si="18"/>
        <v>201242</v>
      </c>
      <c r="E618" s="22" t="str">
        <f t="shared" ca="1" si="19"/>
        <v>201210</v>
      </c>
      <c r="F618" s="22">
        <v>2012</v>
      </c>
    </row>
    <row r="619" spans="1:6" ht="15.75">
      <c r="A619" s="22" t="s">
        <v>1441</v>
      </c>
      <c r="B619" s="26">
        <v>41200</v>
      </c>
      <c r="C619" s="27">
        <v>0</v>
      </c>
      <c r="D619" s="25" t="str">
        <f t="shared" si="18"/>
        <v>201242</v>
      </c>
      <c r="E619" s="22" t="str">
        <f t="shared" ca="1" si="19"/>
        <v>201210</v>
      </c>
      <c r="F619" s="22">
        <v>2012</v>
      </c>
    </row>
    <row r="620" spans="1:6" ht="15.75">
      <c r="A620" s="22" t="s">
        <v>1441</v>
      </c>
      <c r="B620" s="26">
        <v>41201</v>
      </c>
      <c r="C620" s="27">
        <v>0</v>
      </c>
      <c r="D620" s="25" t="str">
        <f t="shared" si="18"/>
        <v>201242</v>
      </c>
      <c r="E620" s="22" t="str">
        <f t="shared" ca="1" si="19"/>
        <v>201210</v>
      </c>
      <c r="F620" s="22">
        <v>2012</v>
      </c>
    </row>
    <row r="621" spans="1:6" ht="15.75">
      <c r="A621" s="22" t="s">
        <v>1441</v>
      </c>
      <c r="B621" s="26">
        <v>41202</v>
      </c>
      <c r="C621" s="27">
        <v>0</v>
      </c>
      <c r="D621" s="25" t="str">
        <f t="shared" si="18"/>
        <v>201242</v>
      </c>
      <c r="E621" s="22" t="str">
        <f t="shared" ca="1" si="19"/>
        <v>201210</v>
      </c>
      <c r="F621" s="22">
        <v>2012</v>
      </c>
    </row>
    <row r="622" spans="1:6" ht="15.75">
      <c r="A622" s="22" t="s">
        <v>1441</v>
      </c>
      <c r="B622" s="26">
        <v>41203</v>
      </c>
      <c r="C622" s="27">
        <v>0</v>
      </c>
      <c r="D622" s="25" t="str">
        <f t="shared" si="18"/>
        <v>201242</v>
      </c>
      <c r="E622" s="22" t="str">
        <f t="shared" ca="1" si="19"/>
        <v>201210</v>
      </c>
      <c r="F622" s="22">
        <v>2012</v>
      </c>
    </row>
    <row r="623" spans="1:6" ht="15.75">
      <c r="A623" s="22" t="s">
        <v>1441</v>
      </c>
      <c r="B623" s="26">
        <v>41204</v>
      </c>
      <c r="C623" s="27">
        <v>0</v>
      </c>
      <c r="D623" s="25" t="str">
        <f t="shared" si="18"/>
        <v>201243</v>
      </c>
      <c r="E623" s="22" t="str">
        <f t="shared" ca="1" si="19"/>
        <v>201210</v>
      </c>
      <c r="F623" s="22">
        <v>2012</v>
      </c>
    </row>
    <row r="624" spans="1:6" ht="15.75">
      <c r="A624" s="22" t="s">
        <v>1441</v>
      </c>
      <c r="B624" s="26">
        <v>41205</v>
      </c>
      <c r="C624" s="27">
        <v>0</v>
      </c>
      <c r="D624" s="25" t="str">
        <f t="shared" si="18"/>
        <v>201243</v>
      </c>
      <c r="E624" s="22" t="str">
        <f t="shared" ca="1" si="19"/>
        <v>201210</v>
      </c>
      <c r="F624" s="22">
        <v>2012</v>
      </c>
    </row>
    <row r="625" spans="1:6" ht="15.75">
      <c r="A625" s="22" t="s">
        <v>1441</v>
      </c>
      <c r="B625" s="26">
        <v>41206</v>
      </c>
      <c r="C625" s="27">
        <v>0</v>
      </c>
      <c r="D625" s="25" t="str">
        <f t="shared" si="18"/>
        <v>201243</v>
      </c>
      <c r="E625" s="22" t="str">
        <f t="shared" ca="1" si="19"/>
        <v>201210</v>
      </c>
      <c r="F625" s="22">
        <v>2012</v>
      </c>
    </row>
    <row r="626" spans="1:6" ht="15.75">
      <c r="A626" s="22" t="s">
        <v>1441</v>
      </c>
      <c r="B626" s="26">
        <v>41207</v>
      </c>
      <c r="C626" s="27">
        <v>0</v>
      </c>
      <c r="D626" s="25" t="str">
        <f t="shared" si="18"/>
        <v>201243</v>
      </c>
      <c r="E626" s="22" t="str">
        <f t="shared" ca="1" si="19"/>
        <v>201210</v>
      </c>
      <c r="F626" s="22">
        <v>2012</v>
      </c>
    </row>
    <row r="627" spans="1:6" ht="15.75">
      <c r="A627" s="22" t="s">
        <v>1441</v>
      </c>
      <c r="B627" s="26">
        <v>41208</v>
      </c>
      <c r="C627" s="27">
        <v>0</v>
      </c>
      <c r="D627" s="25" t="str">
        <f t="shared" si="18"/>
        <v>201243</v>
      </c>
      <c r="E627" s="22" t="str">
        <f t="shared" ca="1" si="19"/>
        <v>201210</v>
      </c>
      <c r="F627" s="22">
        <v>2012</v>
      </c>
    </row>
    <row r="628" spans="1:6" ht="15.75">
      <c r="A628" s="22" t="s">
        <v>1441</v>
      </c>
      <c r="B628" s="26">
        <v>41209</v>
      </c>
      <c r="C628" s="27">
        <v>0</v>
      </c>
      <c r="D628" s="25" t="str">
        <f t="shared" si="18"/>
        <v>201243</v>
      </c>
      <c r="E628" s="22" t="str">
        <f t="shared" ca="1" si="19"/>
        <v>201210</v>
      </c>
      <c r="F628" s="22">
        <v>2012</v>
      </c>
    </row>
    <row r="629" spans="1:6" ht="15.75">
      <c r="A629" s="22" t="s">
        <v>1441</v>
      </c>
      <c r="B629" s="26">
        <v>41210</v>
      </c>
      <c r="C629" s="27">
        <v>0</v>
      </c>
      <c r="D629" s="25" t="str">
        <f t="shared" si="18"/>
        <v>201243</v>
      </c>
      <c r="E629" s="22" t="str">
        <f t="shared" ca="1" si="19"/>
        <v>201210</v>
      </c>
      <c r="F629" s="22">
        <v>2012</v>
      </c>
    </row>
    <row r="630" spans="1:6" ht="15.75">
      <c r="A630" s="22" t="s">
        <v>1441</v>
      </c>
      <c r="B630" s="26">
        <v>41211</v>
      </c>
      <c r="C630" s="27">
        <v>0</v>
      </c>
      <c r="D630" s="25" t="str">
        <f t="shared" si="18"/>
        <v>201244</v>
      </c>
      <c r="E630" s="22" t="str">
        <f t="shared" ca="1" si="19"/>
        <v>201210</v>
      </c>
      <c r="F630" s="22">
        <v>2012</v>
      </c>
    </row>
    <row r="631" spans="1:6" ht="15.75">
      <c r="A631" s="22" t="s">
        <v>1441</v>
      </c>
      <c r="B631" s="26">
        <v>41212</v>
      </c>
      <c r="C631" s="27">
        <v>0</v>
      </c>
      <c r="D631" s="25" t="str">
        <f t="shared" si="18"/>
        <v>201244</v>
      </c>
      <c r="E631" s="22" t="str">
        <f t="shared" ca="1" si="19"/>
        <v>201210</v>
      </c>
      <c r="F631" s="22">
        <v>2012</v>
      </c>
    </row>
    <row r="632" spans="1:6" ht="15.75">
      <c r="A632" s="22" t="s">
        <v>1441</v>
      </c>
      <c r="B632" s="26">
        <v>41213</v>
      </c>
      <c r="C632" s="27">
        <v>0</v>
      </c>
      <c r="D632" s="25" t="str">
        <f t="shared" si="18"/>
        <v>201244</v>
      </c>
      <c r="E632" s="22" t="str">
        <f t="shared" ca="1" si="19"/>
        <v>201210</v>
      </c>
      <c r="F632" s="22">
        <v>2012</v>
      </c>
    </row>
    <row r="633" spans="1:6" ht="15.75">
      <c r="A633" s="22" t="s">
        <v>1441</v>
      </c>
      <c r="B633" s="26">
        <v>41214</v>
      </c>
      <c r="C633" s="27">
        <v>0</v>
      </c>
      <c r="D633" s="25" t="str">
        <f t="shared" si="18"/>
        <v>201244</v>
      </c>
      <c r="E633" s="22" t="str">
        <f t="shared" ca="1" si="19"/>
        <v>201211</v>
      </c>
      <c r="F633" s="22">
        <v>2013</v>
      </c>
    </row>
    <row r="634" spans="1:6" ht="15.75">
      <c r="A634" s="22" t="s">
        <v>1441</v>
      </c>
      <c r="B634" s="26">
        <v>41215</v>
      </c>
      <c r="C634" s="27">
        <v>0</v>
      </c>
      <c r="D634" s="25" t="str">
        <f t="shared" si="18"/>
        <v>201244</v>
      </c>
      <c r="E634" s="22" t="str">
        <f t="shared" ca="1" si="19"/>
        <v>201211</v>
      </c>
      <c r="F634" s="22">
        <v>2013</v>
      </c>
    </row>
    <row r="635" spans="1:6" ht="15.75">
      <c r="A635" s="22" t="s">
        <v>1441</v>
      </c>
      <c r="B635" s="26">
        <v>41216</v>
      </c>
      <c r="C635" s="27">
        <v>0</v>
      </c>
      <c r="D635" s="25" t="str">
        <f t="shared" si="18"/>
        <v>201244</v>
      </c>
      <c r="E635" s="22" t="str">
        <f t="shared" ca="1" si="19"/>
        <v>201211</v>
      </c>
      <c r="F635" s="22">
        <v>2013</v>
      </c>
    </row>
    <row r="636" spans="1:6" ht="15.75">
      <c r="A636" s="22" t="s">
        <v>1441</v>
      </c>
      <c r="B636" s="26">
        <v>41217</v>
      </c>
      <c r="C636" s="27">
        <v>0</v>
      </c>
      <c r="D636" s="25" t="str">
        <f t="shared" si="18"/>
        <v>201244</v>
      </c>
      <c r="E636" s="22" t="str">
        <f t="shared" ca="1" si="19"/>
        <v>201211</v>
      </c>
      <c r="F636" s="22">
        <v>2013</v>
      </c>
    </row>
    <row r="637" spans="1:6" ht="15.75">
      <c r="A637" s="22" t="s">
        <v>1441</v>
      </c>
      <c r="B637" s="26">
        <v>41218</v>
      </c>
      <c r="C637" s="27">
        <v>0</v>
      </c>
      <c r="D637" s="25" t="str">
        <f t="shared" si="18"/>
        <v>201245</v>
      </c>
      <c r="E637" s="22" t="str">
        <f t="shared" ca="1" si="19"/>
        <v>201211</v>
      </c>
      <c r="F637" s="22">
        <v>2013</v>
      </c>
    </row>
    <row r="638" spans="1:6" ht="15.75">
      <c r="A638" s="22" t="s">
        <v>1441</v>
      </c>
      <c r="B638" s="26">
        <v>41219</v>
      </c>
      <c r="C638" s="27">
        <v>0</v>
      </c>
      <c r="D638" s="25" t="str">
        <f t="shared" si="18"/>
        <v>201245</v>
      </c>
      <c r="E638" s="22" t="str">
        <f t="shared" ca="1" si="19"/>
        <v>201211</v>
      </c>
      <c r="F638" s="22">
        <v>2013</v>
      </c>
    </row>
    <row r="639" spans="1:6" ht="15.75">
      <c r="A639" s="22" t="s">
        <v>1441</v>
      </c>
      <c r="B639" s="26">
        <v>41220</v>
      </c>
      <c r="C639" s="27">
        <v>0</v>
      </c>
      <c r="D639" s="25" t="str">
        <f t="shared" si="18"/>
        <v>201245</v>
      </c>
      <c r="E639" s="22" t="str">
        <f t="shared" ca="1" si="19"/>
        <v>201211</v>
      </c>
      <c r="F639" s="22">
        <v>2013</v>
      </c>
    </row>
    <row r="640" spans="1:6" ht="15.75">
      <c r="A640" s="22" t="s">
        <v>1441</v>
      </c>
      <c r="B640" s="26">
        <v>41221</v>
      </c>
      <c r="C640" s="27">
        <v>0</v>
      </c>
      <c r="D640" s="25" t="str">
        <f t="shared" si="18"/>
        <v>201245</v>
      </c>
      <c r="E640" s="22" t="str">
        <f t="shared" ca="1" si="19"/>
        <v>201211</v>
      </c>
      <c r="F640" s="22">
        <v>2013</v>
      </c>
    </row>
    <row r="641" spans="1:6" ht="15.75">
      <c r="A641" s="22" t="s">
        <v>1441</v>
      </c>
      <c r="B641" s="26">
        <v>41222</v>
      </c>
      <c r="C641" s="27">
        <v>0</v>
      </c>
      <c r="D641" s="25" t="str">
        <f t="shared" si="18"/>
        <v>201245</v>
      </c>
      <c r="E641" s="22" t="str">
        <f t="shared" ca="1" si="19"/>
        <v>201211</v>
      </c>
      <c r="F641" s="22">
        <v>2013</v>
      </c>
    </row>
    <row r="642" spans="1:6" ht="15.75">
      <c r="A642" s="22" t="s">
        <v>1441</v>
      </c>
      <c r="B642" s="26">
        <v>41223</v>
      </c>
      <c r="C642" s="27">
        <v>0</v>
      </c>
      <c r="D642" s="25" t="str">
        <f t="shared" si="18"/>
        <v>201245</v>
      </c>
      <c r="E642" s="22" t="str">
        <f t="shared" ca="1" si="19"/>
        <v>201211</v>
      </c>
      <c r="F642" s="22">
        <v>2013</v>
      </c>
    </row>
    <row r="643" spans="1:6" ht="15.75">
      <c r="A643" s="22" t="s">
        <v>1441</v>
      </c>
      <c r="B643" s="26">
        <v>41224</v>
      </c>
      <c r="C643" s="27">
        <v>0</v>
      </c>
      <c r="D643" s="25" t="str">
        <f t="shared" ref="D643:D706" si="20">CONCATENATE(YEAR(B643-WEEKDAY(B643,3)+3),TEXT(WEEKNUM(B643,21),"00"))</f>
        <v>201245</v>
      </c>
      <c r="E643" s="22" t="str">
        <f t="shared" ref="E643:E706" ca="1" si="21">IF(
  AND(
    YEAR(B643)=YEAR(TODAY())-1,
    MONTH(B643)=MONTH(TODAY()),
    DAY(B643)&gt;DAY($H$2)
  ),
  0,
  CONCATENATE(YEAR(B643),TEXT(MONTH(B643),"00"))
)</f>
        <v>201211</v>
      </c>
      <c r="F643" s="22">
        <v>2013</v>
      </c>
    </row>
    <row r="644" spans="1:6" ht="15.75">
      <c r="A644" s="22" t="s">
        <v>1441</v>
      </c>
      <c r="B644" s="26">
        <v>41225</v>
      </c>
      <c r="C644" s="27">
        <v>0</v>
      </c>
      <c r="D644" s="25" t="str">
        <f t="shared" si="20"/>
        <v>201246</v>
      </c>
      <c r="E644" s="22" t="str">
        <f t="shared" ca="1" si="21"/>
        <v>201211</v>
      </c>
      <c r="F644" s="22">
        <v>2013</v>
      </c>
    </row>
    <row r="645" spans="1:6" ht="15.75">
      <c r="A645" s="22" t="s">
        <v>1441</v>
      </c>
      <c r="B645" s="26">
        <v>41226</v>
      </c>
      <c r="C645" s="27">
        <v>0</v>
      </c>
      <c r="D645" s="25" t="str">
        <f t="shared" si="20"/>
        <v>201246</v>
      </c>
      <c r="E645" s="22" t="str">
        <f t="shared" ca="1" si="21"/>
        <v>201211</v>
      </c>
      <c r="F645" s="22">
        <v>2013</v>
      </c>
    </row>
    <row r="646" spans="1:6" ht="15.75">
      <c r="A646" s="22" t="s">
        <v>1441</v>
      </c>
      <c r="B646" s="26">
        <v>41227</v>
      </c>
      <c r="C646" s="27">
        <v>0</v>
      </c>
      <c r="D646" s="25" t="str">
        <f t="shared" si="20"/>
        <v>201246</v>
      </c>
      <c r="E646" s="22" t="str">
        <f t="shared" ca="1" si="21"/>
        <v>201211</v>
      </c>
      <c r="F646" s="22">
        <v>2013</v>
      </c>
    </row>
    <row r="647" spans="1:6" ht="15.75">
      <c r="A647" s="22" t="s">
        <v>1441</v>
      </c>
      <c r="B647" s="26">
        <v>41228</v>
      </c>
      <c r="C647" s="27">
        <v>0</v>
      </c>
      <c r="D647" s="25" t="str">
        <f t="shared" si="20"/>
        <v>201246</v>
      </c>
      <c r="E647" s="22" t="str">
        <f t="shared" ca="1" si="21"/>
        <v>201211</v>
      </c>
      <c r="F647" s="22">
        <v>2013</v>
      </c>
    </row>
    <row r="648" spans="1:6" ht="15.75">
      <c r="A648" s="22" t="s">
        <v>1441</v>
      </c>
      <c r="B648" s="26">
        <v>41229</v>
      </c>
      <c r="C648" s="27">
        <v>0</v>
      </c>
      <c r="D648" s="25" t="str">
        <f t="shared" si="20"/>
        <v>201246</v>
      </c>
      <c r="E648" s="22" t="str">
        <f t="shared" ca="1" si="21"/>
        <v>201211</v>
      </c>
      <c r="F648" s="22">
        <v>2013</v>
      </c>
    </row>
    <row r="649" spans="1:6" ht="15.75">
      <c r="A649" s="22" t="s">
        <v>1441</v>
      </c>
      <c r="B649" s="26">
        <v>41230</v>
      </c>
      <c r="C649" s="27">
        <v>0</v>
      </c>
      <c r="D649" s="25" t="str">
        <f t="shared" si="20"/>
        <v>201246</v>
      </c>
      <c r="E649" s="22" t="str">
        <f t="shared" ca="1" si="21"/>
        <v>201211</v>
      </c>
      <c r="F649" s="22">
        <v>2013</v>
      </c>
    </row>
    <row r="650" spans="1:6" ht="15.75">
      <c r="A650" s="22" t="s">
        <v>1441</v>
      </c>
      <c r="B650" s="26">
        <v>41231</v>
      </c>
      <c r="C650" s="27">
        <v>0</v>
      </c>
      <c r="D650" s="25" t="str">
        <f t="shared" si="20"/>
        <v>201246</v>
      </c>
      <c r="E650" s="22" t="str">
        <f t="shared" ca="1" si="21"/>
        <v>201211</v>
      </c>
      <c r="F650" s="22">
        <v>2013</v>
      </c>
    </row>
    <row r="651" spans="1:6" ht="15.75">
      <c r="A651" s="22" t="s">
        <v>1441</v>
      </c>
      <c r="B651" s="26">
        <v>41232</v>
      </c>
      <c r="C651" s="27">
        <v>0</v>
      </c>
      <c r="D651" s="25" t="str">
        <f t="shared" si="20"/>
        <v>201247</v>
      </c>
      <c r="E651" s="22" t="str">
        <f t="shared" ca="1" si="21"/>
        <v>201211</v>
      </c>
      <c r="F651" s="22">
        <v>2013</v>
      </c>
    </row>
    <row r="652" spans="1:6" ht="15.75">
      <c r="A652" s="22" t="s">
        <v>1441</v>
      </c>
      <c r="B652" s="26">
        <v>41233</v>
      </c>
      <c r="C652" s="27">
        <v>0</v>
      </c>
      <c r="D652" s="25" t="str">
        <f t="shared" si="20"/>
        <v>201247</v>
      </c>
      <c r="E652" s="22" t="str">
        <f t="shared" ca="1" si="21"/>
        <v>201211</v>
      </c>
      <c r="F652" s="22">
        <v>2013</v>
      </c>
    </row>
    <row r="653" spans="1:6" ht="15.75">
      <c r="A653" s="22" t="s">
        <v>1441</v>
      </c>
      <c r="B653" s="26">
        <v>41234</v>
      </c>
      <c r="C653" s="27">
        <v>0</v>
      </c>
      <c r="D653" s="25" t="str">
        <f t="shared" si="20"/>
        <v>201247</v>
      </c>
      <c r="E653" s="22" t="str">
        <f t="shared" ca="1" si="21"/>
        <v>201211</v>
      </c>
      <c r="F653" s="22">
        <v>2013</v>
      </c>
    </row>
    <row r="654" spans="1:6" ht="15.75">
      <c r="A654" s="22" t="s">
        <v>1441</v>
      </c>
      <c r="B654" s="26">
        <v>41235</v>
      </c>
      <c r="C654" s="27">
        <v>0</v>
      </c>
      <c r="D654" s="25" t="str">
        <f t="shared" si="20"/>
        <v>201247</v>
      </c>
      <c r="E654" s="22" t="str">
        <f t="shared" ca="1" si="21"/>
        <v>201211</v>
      </c>
      <c r="F654" s="22">
        <v>2013</v>
      </c>
    </row>
    <row r="655" spans="1:6" ht="15.75">
      <c r="A655" s="22" t="s">
        <v>1441</v>
      </c>
      <c r="B655" s="26">
        <v>41236</v>
      </c>
      <c r="C655" s="27">
        <v>0</v>
      </c>
      <c r="D655" s="25" t="str">
        <f t="shared" si="20"/>
        <v>201247</v>
      </c>
      <c r="E655" s="22" t="str">
        <f t="shared" ca="1" si="21"/>
        <v>201211</v>
      </c>
      <c r="F655" s="22">
        <v>2013</v>
      </c>
    </row>
    <row r="656" spans="1:6" ht="15.75">
      <c r="A656" s="22" t="s">
        <v>1441</v>
      </c>
      <c r="B656" s="26">
        <v>41237</v>
      </c>
      <c r="C656" s="27">
        <v>0</v>
      </c>
      <c r="D656" s="25" t="str">
        <f t="shared" si="20"/>
        <v>201247</v>
      </c>
      <c r="E656" s="22" t="str">
        <f t="shared" ca="1" si="21"/>
        <v>201211</v>
      </c>
      <c r="F656" s="22">
        <v>2013</v>
      </c>
    </row>
    <row r="657" spans="1:6" ht="15.75">
      <c r="A657" s="22" t="s">
        <v>1441</v>
      </c>
      <c r="B657" s="26">
        <v>41238</v>
      </c>
      <c r="C657" s="27">
        <v>0</v>
      </c>
      <c r="D657" s="25" t="str">
        <f t="shared" si="20"/>
        <v>201247</v>
      </c>
      <c r="E657" s="22" t="str">
        <f t="shared" ca="1" si="21"/>
        <v>201211</v>
      </c>
      <c r="F657" s="22">
        <v>2013</v>
      </c>
    </row>
    <row r="658" spans="1:6" ht="15.75">
      <c r="A658" s="22" t="s">
        <v>1441</v>
      </c>
      <c r="B658" s="26">
        <v>41239</v>
      </c>
      <c r="C658" s="27">
        <v>0</v>
      </c>
      <c r="D658" s="25" t="str">
        <f t="shared" si="20"/>
        <v>201248</v>
      </c>
      <c r="E658" s="22" t="str">
        <f t="shared" ca="1" si="21"/>
        <v>201211</v>
      </c>
      <c r="F658" s="22">
        <v>2013</v>
      </c>
    </row>
    <row r="659" spans="1:6" ht="15.75">
      <c r="A659" s="22" t="s">
        <v>1441</v>
      </c>
      <c r="B659" s="26">
        <v>41240</v>
      </c>
      <c r="C659" s="27">
        <v>0</v>
      </c>
      <c r="D659" s="25" t="str">
        <f t="shared" si="20"/>
        <v>201248</v>
      </c>
      <c r="E659" s="22" t="str">
        <f t="shared" ca="1" si="21"/>
        <v>201211</v>
      </c>
      <c r="F659" s="22">
        <v>2013</v>
      </c>
    </row>
    <row r="660" spans="1:6" ht="15.75">
      <c r="A660" s="22" t="s">
        <v>1441</v>
      </c>
      <c r="B660" s="26">
        <v>41241</v>
      </c>
      <c r="C660" s="27">
        <v>0</v>
      </c>
      <c r="D660" s="25" t="str">
        <f t="shared" si="20"/>
        <v>201248</v>
      </c>
      <c r="E660" s="22" t="str">
        <f t="shared" ca="1" si="21"/>
        <v>201211</v>
      </c>
      <c r="F660" s="22">
        <v>2013</v>
      </c>
    </row>
    <row r="661" spans="1:6" ht="15.75">
      <c r="A661" s="22" t="s">
        <v>1441</v>
      </c>
      <c r="B661" s="26">
        <v>41242</v>
      </c>
      <c r="C661" s="27">
        <v>0</v>
      </c>
      <c r="D661" s="25" t="str">
        <f t="shared" si="20"/>
        <v>201248</v>
      </c>
      <c r="E661" s="22" t="str">
        <f t="shared" ca="1" si="21"/>
        <v>201211</v>
      </c>
      <c r="F661" s="22">
        <v>2013</v>
      </c>
    </row>
    <row r="662" spans="1:6" ht="15.75">
      <c r="A662" s="22" t="s">
        <v>1441</v>
      </c>
      <c r="B662" s="26">
        <v>41243</v>
      </c>
      <c r="C662" s="27">
        <v>0</v>
      </c>
      <c r="D662" s="25" t="str">
        <f t="shared" si="20"/>
        <v>201248</v>
      </c>
      <c r="E662" s="22" t="str">
        <f t="shared" ca="1" si="21"/>
        <v>201211</v>
      </c>
      <c r="F662" s="22">
        <v>2013</v>
      </c>
    </row>
    <row r="663" spans="1:6" ht="15.75">
      <c r="A663" s="22" t="s">
        <v>1441</v>
      </c>
      <c r="B663" s="26">
        <v>41244</v>
      </c>
      <c r="C663" s="27">
        <v>0</v>
      </c>
      <c r="D663" s="25" t="str">
        <f t="shared" si="20"/>
        <v>201248</v>
      </c>
      <c r="E663" s="22" t="str">
        <f t="shared" ca="1" si="21"/>
        <v>201212</v>
      </c>
      <c r="F663" s="22">
        <v>2013</v>
      </c>
    </row>
    <row r="664" spans="1:6" ht="15.75">
      <c r="A664" s="22" t="s">
        <v>1441</v>
      </c>
      <c r="B664" s="26">
        <v>41245</v>
      </c>
      <c r="C664" s="27">
        <v>0</v>
      </c>
      <c r="D664" s="25" t="str">
        <f t="shared" si="20"/>
        <v>201248</v>
      </c>
      <c r="E664" s="22" t="str">
        <f t="shared" ca="1" si="21"/>
        <v>201212</v>
      </c>
      <c r="F664" s="22">
        <v>2013</v>
      </c>
    </row>
    <row r="665" spans="1:6" ht="15.75">
      <c r="A665" s="22" t="s">
        <v>1441</v>
      </c>
      <c r="B665" s="26">
        <v>41246</v>
      </c>
      <c r="C665" s="27">
        <v>0</v>
      </c>
      <c r="D665" s="25" t="str">
        <f t="shared" si="20"/>
        <v>201249</v>
      </c>
      <c r="E665" s="22" t="str">
        <f t="shared" ca="1" si="21"/>
        <v>201212</v>
      </c>
      <c r="F665" s="22">
        <v>2013</v>
      </c>
    </row>
    <row r="666" spans="1:6" ht="15.75">
      <c r="A666" s="22" t="s">
        <v>1441</v>
      </c>
      <c r="B666" s="26">
        <v>41247</v>
      </c>
      <c r="C666" s="27">
        <v>0</v>
      </c>
      <c r="D666" s="25" t="str">
        <f t="shared" si="20"/>
        <v>201249</v>
      </c>
      <c r="E666" s="22" t="str">
        <f t="shared" ca="1" si="21"/>
        <v>201212</v>
      </c>
      <c r="F666" s="22">
        <v>2013</v>
      </c>
    </row>
    <row r="667" spans="1:6" ht="15.75">
      <c r="A667" s="22" t="s">
        <v>1441</v>
      </c>
      <c r="B667" s="26">
        <v>41248</v>
      </c>
      <c r="C667" s="27">
        <v>0</v>
      </c>
      <c r="D667" s="25" t="str">
        <f t="shared" si="20"/>
        <v>201249</v>
      </c>
      <c r="E667" s="22" t="str">
        <f t="shared" ca="1" si="21"/>
        <v>201212</v>
      </c>
      <c r="F667" s="22">
        <v>2013</v>
      </c>
    </row>
    <row r="668" spans="1:6" ht="15.75">
      <c r="A668" s="22" t="s">
        <v>1441</v>
      </c>
      <c r="B668" s="26">
        <v>41249</v>
      </c>
      <c r="C668" s="27">
        <v>0</v>
      </c>
      <c r="D668" s="25" t="str">
        <f t="shared" si="20"/>
        <v>201249</v>
      </c>
      <c r="E668" s="22" t="str">
        <f t="shared" ca="1" si="21"/>
        <v>201212</v>
      </c>
      <c r="F668" s="22">
        <v>2013</v>
      </c>
    </row>
    <row r="669" spans="1:6" ht="15.75">
      <c r="A669" s="22" t="s">
        <v>1441</v>
      </c>
      <c r="B669" s="26">
        <v>41250</v>
      </c>
      <c r="C669" s="27">
        <v>0</v>
      </c>
      <c r="D669" s="25" t="str">
        <f t="shared" si="20"/>
        <v>201249</v>
      </c>
      <c r="E669" s="22" t="str">
        <f t="shared" ca="1" si="21"/>
        <v>201212</v>
      </c>
      <c r="F669" s="22">
        <v>2013</v>
      </c>
    </row>
    <row r="670" spans="1:6" ht="15.75">
      <c r="A670" s="22" t="s">
        <v>1441</v>
      </c>
      <c r="B670" s="26">
        <v>41251</v>
      </c>
      <c r="C670" s="27">
        <v>0</v>
      </c>
      <c r="D670" s="25" t="str">
        <f t="shared" si="20"/>
        <v>201249</v>
      </c>
      <c r="E670" s="22" t="str">
        <f t="shared" ca="1" si="21"/>
        <v>201212</v>
      </c>
      <c r="F670" s="22">
        <v>2013</v>
      </c>
    </row>
    <row r="671" spans="1:6" ht="15.75">
      <c r="A671" s="22" t="s">
        <v>1441</v>
      </c>
      <c r="B671" s="26">
        <v>41252</v>
      </c>
      <c r="C671" s="27">
        <v>0</v>
      </c>
      <c r="D671" s="25" t="str">
        <f t="shared" si="20"/>
        <v>201249</v>
      </c>
      <c r="E671" s="22" t="str">
        <f t="shared" ca="1" si="21"/>
        <v>201212</v>
      </c>
      <c r="F671" s="22">
        <v>2013</v>
      </c>
    </row>
    <row r="672" spans="1:6" ht="15.75">
      <c r="A672" s="22" t="s">
        <v>1441</v>
      </c>
      <c r="B672" s="26">
        <v>41253</v>
      </c>
      <c r="C672" s="27">
        <v>0</v>
      </c>
      <c r="D672" s="25" t="str">
        <f t="shared" si="20"/>
        <v>201250</v>
      </c>
      <c r="E672" s="22" t="str">
        <f t="shared" ca="1" si="21"/>
        <v>201212</v>
      </c>
      <c r="F672" s="22">
        <v>2013</v>
      </c>
    </row>
    <row r="673" spans="1:6" ht="15.75">
      <c r="A673" s="22" t="s">
        <v>1441</v>
      </c>
      <c r="B673" s="26">
        <v>41254</v>
      </c>
      <c r="C673" s="27">
        <v>0</v>
      </c>
      <c r="D673" s="25" t="str">
        <f t="shared" si="20"/>
        <v>201250</v>
      </c>
      <c r="E673" s="22" t="str">
        <f t="shared" ca="1" si="21"/>
        <v>201212</v>
      </c>
      <c r="F673" s="22">
        <v>2013</v>
      </c>
    </row>
    <row r="674" spans="1:6" ht="15.75">
      <c r="A674" s="22" t="s">
        <v>1441</v>
      </c>
      <c r="B674" s="26">
        <v>41255</v>
      </c>
      <c r="C674" s="27">
        <v>0</v>
      </c>
      <c r="D674" s="25" t="str">
        <f t="shared" si="20"/>
        <v>201250</v>
      </c>
      <c r="E674" s="22" t="str">
        <f t="shared" ca="1" si="21"/>
        <v>201212</v>
      </c>
      <c r="F674" s="22">
        <v>2013</v>
      </c>
    </row>
    <row r="675" spans="1:6" ht="15.75">
      <c r="A675" s="22" t="s">
        <v>1441</v>
      </c>
      <c r="B675" s="26">
        <v>41256</v>
      </c>
      <c r="C675" s="27">
        <v>0.81</v>
      </c>
      <c r="D675" s="25" t="str">
        <f t="shared" si="20"/>
        <v>201250</v>
      </c>
      <c r="E675" s="22" t="str">
        <f t="shared" ca="1" si="21"/>
        <v>201212</v>
      </c>
      <c r="F675" s="22">
        <v>2013</v>
      </c>
    </row>
    <row r="676" spans="1:6" ht="15.75">
      <c r="A676" s="22" t="s">
        <v>1441</v>
      </c>
      <c r="B676" s="26">
        <v>41257</v>
      </c>
      <c r="C676" s="27">
        <v>2.31</v>
      </c>
      <c r="D676" s="25" t="str">
        <f t="shared" si="20"/>
        <v>201250</v>
      </c>
      <c r="E676" s="22" t="str">
        <f t="shared" ca="1" si="21"/>
        <v>201212</v>
      </c>
      <c r="F676" s="22">
        <v>2013</v>
      </c>
    </row>
    <row r="677" spans="1:6" ht="15.75">
      <c r="A677" s="22" t="s">
        <v>1441</v>
      </c>
      <c r="B677" s="26">
        <v>41258</v>
      </c>
      <c r="C677" s="27">
        <v>2.68</v>
      </c>
      <c r="D677" s="25" t="str">
        <f t="shared" si="20"/>
        <v>201250</v>
      </c>
      <c r="E677" s="22" t="str">
        <f t="shared" ca="1" si="21"/>
        <v>201212</v>
      </c>
      <c r="F677" s="22">
        <v>2013</v>
      </c>
    </row>
    <row r="678" spans="1:6" ht="15.75">
      <c r="A678" s="22" t="s">
        <v>1441</v>
      </c>
      <c r="B678" s="26">
        <v>41259</v>
      </c>
      <c r="C678" s="27">
        <v>1.2</v>
      </c>
      <c r="D678" s="25" t="str">
        <f t="shared" si="20"/>
        <v>201250</v>
      </c>
      <c r="E678" s="22" t="str">
        <f t="shared" ca="1" si="21"/>
        <v>201212</v>
      </c>
      <c r="F678" s="22">
        <v>2013</v>
      </c>
    </row>
    <row r="679" spans="1:6" ht="15.75">
      <c r="A679" s="22" t="s">
        <v>1441</v>
      </c>
      <c r="B679" s="26">
        <v>41260</v>
      </c>
      <c r="C679" s="27">
        <v>0</v>
      </c>
      <c r="D679" s="25" t="str">
        <f t="shared" si="20"/>
        <v>201251</v>
      </c>
      <c r="E679" s="22" t="str">
        <f t="shared" ca="1" si="21"/>
        <v>201212</v>
      </c>
      <c r="F679" s="22">
        <v>2013</v>
      </c>
    </row>
    <row r="680" spans="1:6" ht="15.75">
      <c r="A680" s="22" t="s">
        <v>1441</v>
      </c>
      <c r="B680" s="26">
        <v>41261</v>
      </c>
      <c r="C680" s="27">
        <v>0</v>
      </c>
      <c r="D680" s="25" t="str">
        <f t="shared" si="20"/>
        <v>201251</v>
      </c>
      <c r="E680" s="22" t="str">
        <f t="shared" ca="1" si="21"/>
        <v>201212</v>
      </c>
      <c r="F680" s="22">
        <v>2013</v>
      </c>
    </row>
    <row r="681" spans="1:6" ht="15.75">
      <c r="A681" s="22" t="s">
        <v>1441</v>
      </c>
      <c r="B681" s="26">
        <v>41262</v>
      </c>
      <c r="C681" s="27">
        <v>0</v>
      </c>
      <c r="D681" s="25" t="str">
        <f t="shared" si="20"/>
        <v>201251</v>
      </c>
      <c r="E681" s="22" t="str">
        <f t="shared" ca="1" si="21"/>
        <v>201212</v>
      </c>
      <c r="F681" s="22">
        <v>2013</v>
      </c>
    </row>
    <row r="682" spans="1:6" ht="15.75">
      <c r="A682" s="22" t="s">
        <v>1441</v>
      </c>
      <c r="B682" s="26">
        <v>41263</v>
      </c>
      <c r="C682" s="27">
        <v>0</v>
      </c>
      <c r="D682" s="25" t="str">
        <f t="shared" si="20"/>
        <v>201251</v>
      </c>
      <c r="E682" s="22" t="str">
        <f t="shared" ca="1" si="21"/>
        <v>201212</v>
      </c>
      <c r="F682" s="22">
        <v>2013</v>
      </c>
    </row>
    <row r="683" spans="1:6" ht="15.75">
      <c r="A683" s="22" t="s">
        <v>1441</v>
      </c>
      <c r="B683" s="26">
        <v>41264</v>
      </c>
      <c r="C683" s="27">
        <v>0</v>
      </c>
      <c r="D683" s="25" t="str">
        <f t="shared" si="20"/>
        <v>201251</v>
      </c>
      <c r="E683" s="22" t="str">
        <f t="shared" ca="1" si="21"/>
        <v>201212</v>
      </c>
      <c r="F683" s="22">
        <v>2013</v>
      </c>
    </row>
    <row r="684" spans="1:6" ht="15.75">
      <c r="A684" s="22" t="s">
        <v>1441</v>
      </c>
      <c r="B684" s="26">
        <v>41265</v>
      </c>
      <c r="C684" s="27">
        <v>0</v>
      </c>
      <c r="D684" s="25" t="str">
        <f t="shared" si="20"/>
        <v>201251</v>
      </c>
      <c r="E684" s="22" t="str">
        <f t="shared" ca="1" si="21"/>
        <v>201212</v>
      </c>
      <c r="F684" s="22">
        <v>2013</v>
      </c>
    </row>
    <row r="685" spans="1:6" ht="15.75">
      <c r="A685" s="22" t="s">
        <v>1441</v>
      </c>
      <c r="B685" s="26">
        <v>41266</v>
      </c>
      <c r="C685" s="27">
        <v>0</v>
      </c>
      <c r="D685" s="25" t="str">
        <f t="shared" si="20"/>
        <v>201251</v>
      </c>
      <c r="E685" s="22" t="str">
        <f t="shared" ca="1" si="21"/>
        <v>201212</v>
      </c>
      <c r="F685" s="22">
        <v>2013</v>
      </c>
    </row>
    <row r="686" spans="1:6" ht="15.75">
      <c r="A686" s="22" t="s">
        <v>1441</v>
      </c>
      <c r="B686" s="26">
        <v>41267</v>
      </c>
      <c r="C686" s="27">
        <v>0</v>
      </c>
      <c r="D686" s="25" t="str">
        <f t="shared" si="20"/>
        <v>201252</v>
      </c>
      <c r="E686" s="22" t="str">
        <f t="shared" ca="1" si="21"/>
        <v>201212</v>
      </c>
      <c r="F686" s="22">
        <v>2013</v>
      </c>
    </row>
    <row r="687" spans="1:6" ht="15.75">
      <c r="A687" s="22" t="s">
        <v>1441</v>
      </c>
      <c r="B687" s="26">
        <v>41268</v>
      </c>
      <c r="C687" s="27">
        <v>0</v>
      </c>
      <c r="D687" s="25" t="str">
        <f t="shared" si="20"/>
        <v>201252</v>
      </c>
      <c r="E687" s="22" t="str">
        <f t="shared" ca="1" si="21"/>
        <v>201212</v>
      </c>
      <c r="F687" s="22">
        <v>2013</v>
      </c>
    </row>
    <row r="688" spans="1:6" ht="15.75">
      <c r="A688" s="22" t="s">
        <v>1441</v>
      </c>
      <c r="B688" s="26">
        <v>41269</v>
      </c>
      <c r="C688" s="27">
        <v>0</v>
      </c>
      <c r="D688" s="25" t="str">
        <f t="shared" si="20"/>
        <v>201252</v>
      </c>
      <c r="E688" s="22" t="str">
        <f t="shared" ca="1" si="21"/>
        <v>201212</v>
      </c>
      <c r="F688" s="22">
        <v>2013</v>
      </c>
    </row>
    <row r="689" spans="1:6" ht="15.75">
      <c r="A689" s="22" t="s">
        <v>1441</v>
      </c>
      <c r="B689" s="26">
        <v>41270</v>
      </c>
      <c r="C689" s="27">
        <v>0</v>
      </c>
      <c r="D689" s="25" t="str">
        <f t="shared" si="20"/>
        <v>201252</v>
      </c>
      <c r="E689" s="22" t="str">
        <f t="shared" ca="1" si="21"/>
        <v>201212</v>
      </c>
      <c r="F689" s="22">
        <v>2013</v>
      </c>
    </row>
    <row r="690" spans="1:6" ht="15.75">
      <c r="A690" s="22" t="s">
        <v>1441</v>
      </c>
      <c r="B690" s="26">
        <v>41271</v>
      </c>
      <c r="C690" s="27">
        <v>0</v>
      </c>
      <c r="D690" s="25" t="str">
        <f t="shared" si="20"/>
        <v>201252</v>
      </c>
      <c r="E690" s="22" t="str">
        <f t="shared" ca="1" si="21"/>
        <v>201212</v>
      </c>
      <c r="F690" s="22">
        <v>2013</v>
      </c>
    </row>
    <row r="691" spans="1:6" ht="15.75">
      <c r="A691" s="22" t="s">
        <v>1441</v>
      </c>
      <c r="B691" s="26">
        <v>41272</v>
      </c>
      <c r="C691" s="27">
        <v>0</v>
      </c>
      <c r="D691" s="25" t="str">
        <f t="shared" si="20"/>
        <v>201252</v>
      </c>
      <c r="E691" s="22" t="str">
        <f t="shared" ca="1" si="21"/>
        <v>201212</v>
      </c>
      <c r="F691" s="22">
        <v>2013</v>
      </c>
    </row>
    <row r="692" spans="1:6" ht="15.75">
      <c r="A692" s="22" t="s">
        <v>1441</v>
      </c>
      <c r="B692" s="26">
        <v>41273</v>
      </c>
      <c r="C692" s="27">
        <v>0</v>
      </c>
      <c r="D692" s="25" t="str">
        <f t="shared" si="20"/>
        <v>201252</v>
      </c>
      <c r="E692" s="22" t="str">
        <f t="shared" ca="1" si="21"/>
        <v>201212</v>
      </c>
      <c r="F692" s="22">
        <v>2013</v>
      </c>
    </row>
    <row r="693" spans="1:6" ht="15.75">
      <c r="A693" s="22" t="s">
        <v>1441</v>
      </c>
      <c r="B693" s="26">
        <v>41274</v>
      </c>
      <c r="C693" s="27">
        <v>0</v>
      </c>
      <c r="D693" s="25" t="str">
        <f t="shared" si="20"/>
        <v>201301</v>
      </c>
      <c r="E693" s="22" t="str">
        <f t="shared" ca="1" si="21"/>
        <v>201212</v>
      </c>
      <c r="F693" s="22">
        <v>2013</v>
      </c>
    </row>
    <row r="694" spans="1:6" ht="15.75">
      <c r="A694" s="22" t="s">
        <v>1441</v>
      </c>
      <c r="B694" s="26">
        <v>41275</v>
      </c>
      <c r="C694" s="27">
        <v>0</v>
      </c>
      <c r="D694" s="25" t="str">
        <f t="shared" si="20"/>
        <v>201301</v>
      </c>
      <c r="E694" s="22" t="str">
        <f t="shared" ca="1" si="21"/>
        <v>201301</v>
      </c>
      <c r="F694" s="22">
        <v>2013</v>
      </c>
    </row>
    <row r="695" spans="1:6" ht="15.75">
      <c r="A695" s="22" t="s">
        <v>1441</v>
      </c>
      <c r="B695" s="26">
        <v>41276</v>
      </c>
      <c r="C695" s="27">
        <v>0</v>
      </c>
      <c r="D695" s="25" t="str">
        <f t="shared" si="20"/>
        <v>201301</v>
      </c>
      <c r="E695" s="22" t="str">
        <f t="shared" ca="1" si="21"/>
        <v>201301</v>
      </c>
      <c r="F695" s="22">
        <v>2013</v>
      </c>
    </row>
    <row r="696" spans="1:6" ht="15.75">
      <c r="A696" s="22" t="s">
        <v>1441</v>
      </c>
      <c r="B696" s="26">
        <v>41277</v>
      </c>
      <c r="C696" s="27">
        <v>0.65</v>
      </c>
      <c r="D696" s="25" t="str">
        <f t="shared" si="20"/>
        <v>201301</v>
      </c>
      <c r="E696" s="22" t="str">
        <f t="shared" ca="1" si="21"/>
        <v>201301</v>
      </c>
      <c r="F696" s="22">
        <v>2013</v>
      </c>
    </row>
    <row r="697" spans="1:6" ht="15.75">
      <c r="A697" s="22" t="s">
        <v>1441</v>
      </c>
      <c r="B697" s="26">
        <v>41278</v>
      </c>
      <c r="C697" s="27">
        <v>1.75</v>
      </c>
      <c r="D697" s="25" t="str">
        <f t="shared" si="20"/>
        <v>201301</v>
      </c>
      <c r="E697" s="22" t="str">
        <f t="shared" ca="1" si="21"/>
        <v>201301</v>
      </c>
      <c r="F697" s="22">
        <v>2013</v>
      </c>
    </row>
    <row r="698" spans="1:6" ht="15.75">
      <c r="A698" s="22" t="s">
        <v>1441</v>
      </c>
      <c r="B698" s="26">
        <v>41279</v>
      </c>
      <c r="C698" s="27">
        <v>2.46</v>
      </c>
      <c r="D698" s="25" t="str">
        <f t="shared" si="20"/>
        <v>201301</v>
      </c>
      <c r="E698" s="22" t="str">
        <f t="shared" ca="1" si="21"/>
        <v>201301</v>
      </c>
      <c r="F698" s="22">
        <v>2013</v>
      </c>
    </row>
    <row r="699" spans="1:6" ht="15.75">
      <c r="A699" s="22" t="s">
        <v>1441</v>
      </c>
      <c r="B699" s="26">
        <v>41280</v>
      </c>
      <c r="C699" s="27">
        <v>2.2999999999999998</v>
      </c>
      <c r="D699" s="25" t="str">
        <f t="shared" si="20"/>
        <v>201301</v>
      </c>
      <c r="E699" s="22" t="str">
        <f t="shared" ca="1" si="21"/>
        <v>201301</v>
      </c>
      <c r="F699" s="22">
        <v>2013</v>
      </c>
    </row>
    <row r="700" spans="1:6" ht="15.75">
      <c r="A700" s="22" t="s">
        <v>1441</v>
      </c>
      <c r="B700" s="26">
        <v>41281</v>
      </c>
      <c r="C700" s="27">
        <v>1.1399999999999999</v>
      </c>
      <c r="D700" s="25" t="str">
        <f t="shared" si="20"/>
        <v>201302</v>
      </c>
      <c r="E700" s="22" t="str">
        <f t="shared" ca="1" si="21"/>
        <v>201301</v>
      </c>
      <c r="F700" s="22">
        <v>2013</v>
      </c>
    </row>
    <row r="701" spans="1:6" ht="15.75">
      <c r="A701" s="22" t="s">
        <v>1441</v>
      </c>
      <c r="B701" s="26">
        <v>41282</v>
      </c>
      <c r="C701" s="27">
        <v>0</v>
      </c>
      <c r="D701" s="25" t="str">
        <f t="shared" si="20"/>
        <v>201302</v>
      </c>
      <c r="E701" s="22" t="str">
        <f t="shared" ca="1" si="21"/>
        <v>201301</v>
      </c>
      <c r="F701" s="22">
        <v>2013</v>
      </c>
    </row>
    <row r="702" spans="1:6" ht="15.75">
      <c r="A702" s="22" t="s">
        <v>1441</v>
      </c>
      <c r="B702" s="26">
        <v>41283</v>
      </c>
      <c r="C702" s="27">
        <v>0</v>
      </c>
      <c r="D702" s="25" t="str">
        <f t="shared" si="20"/>
        <v>201302</v>
      </c>
      <c r="E702" s="22" t="str">
        <f t="shared" ca="1" si="21"/>
        <v>201301</v>
      </c>
      <c r="F702" s="22">
        <v>2013</v>
      </c>
    </row>
    <row r="703" spans="1:6" ht="15.75">
      <c r="A703" s="22" t="s">
        <v>1441</v>
      </c>
      <c r="B703" s="26">
        <v>41284</v>
      </c>
      <c r="C703" s="27">
        <v>0</v>
      </c>
      <c r="D703" s="25" t="str">
        <f t="shared" si="20"/>
        <v>201302</v>
      </c>
      <c r="E703" s="22" t="str">
        <f t="shared" ca="1" si="21"/>
        <v>201301</v>
      </c>
      <c r="F703" s="22">
        <v>2013</v>
      </c>
    </row>
    <row r="704" spans="1:6" ht="15.75">
      <c r="A704" s="22" t="s">
        <v>1441</v>
      </c>
      <c r="B704" s="26">
        <v>41285</v>
      </c>
      <c r="C704" s="27">
        <v>0</v>
      </c>
      <c r="D704" s="25" t="str">
        <f t="shared" si="20"/>
        <v>201302</v>
      </c>
      <c r="E704" s="22" t="str">
        <f t="shared" ca="1" si="21"/>
        <v>201301</v>
      </c>
      <c r="F704" s="22">
        <v>2013</v>
      </c>
    </row>
    <row r="705" spans="1:6" ht="15.75">
      <c r="A705" s="22" t="s">
        <v>1441</v>
      </c>
      <c r="B705" s="26">
        <v>41286</v>
      </c>
      <c r="C705" s="27">
        <v>0</v>
      </c>
      <c r="D705" s="25" t="str">
        <f t="shared" si="20"/>
        <v>201302</v>
      </c>
      <c r="E705" s="22" t="str">
        <f t="shared" ca="1" si="21"/>
        <v>201301</v>
      </c>
      <c r="F705" s="22">
        <v>2013</v>
      </c>
    </row>
    <row r="706" spans="1:6" ht="15.75">
      <c r="A706" s="22" t="s">
        <v>1441</v>
      </c>
      <c r="B706" s="26">
        <v>41287</v>
      </c>
      <c r="C706" s="27">
        <v>0</v>
      </c>
      <c r="D706" s="25" t="str">
        <f t="shared" si="20"/>
        <v>201302</v>
      </c>
      <c r="E706" s="22" t="str">
        <f t="shared" ca="1" si="21"/>
        <v>201301</v>
      </c>
      <c r="F706" s="22">
        <v>2013</v>
      </c>
    </row>
    <row r="707" spans="1:6" ht="15.75">
      <c r="A707" s="22" t="s">
        <v>1441</v>
      </c>
      <c r="B707" s="26">
        <v>41288</v>
      </c>
      <c r="C707" s="27">
        <v>0</v>
      </c>
      <c r="D707" s="25" t="str">
        <f t="shared" ref="D707:D770" si="22">CONCATENATE(YEAR(B707-WEEKDAY(B707,3)+3),TEXT(WEEKNUM(B707,21),"00"))</f>
        <v>201303</v>
      </c>
      <c r="E707" s="22" t="str">
        <f t="shared" ref="E707:E770" ca="1" si="23">IF(
  AND(
    YEAR(B707)=YEAR(TODAY())-1,
    MONTH(B707)=MONTH(TODAY()),
    DAY(B707)&gt;DAY($H$2)
  ),
  0,
  CONCATENATE(YEAR(B707),TEXT(MONTH(B707),"00"))
)</f>
        <v>201301</v>
      </c>
      <c r="F707" s="22">
        <v>2013</v>
      </c>
    </row>
    <row r="708" spans="1:6" ht="15.75">
      <c r="A708" s="22" t="s">
        <v>1441</v>
      </c>
      <c r="B708" s="26">
        <v>41289</v>
      </c>
      <c r="C708" s="27">
        <v>0</v>
      </c>
      <c r="D708" s="25" t="str">
        <f t="shared" si="22"/>
        <v>201303</v>
      </c>
      <c r="E708" s="22" t="str">
        <f t="shared" ca="1" si="23"/>
        <v>201301</v>
      </c>
      <c r="F708" s="22">
        <v>2013</v>
      </c>
    </row>
    <row r="709" spans="1:6" ht="15.75">
      <c r="A709" s="22" t="s">
        <v>1441</v>
      </c>
      <c r="B709" s="26">
        <v>41290</v>
      </c>
      <c r="C709" s="27">
        <v>0</v>
      </c>
      <c r="D709" s="25" t="str">
        <f t="shared" si="22"/>
        <v>201303</v>
      </c>
      <c r="E709" s="22" t="str">
        <f t="shared" ca="1" si="23"/>
        <v>201301</v>
      </c>
      <c r="F709" s="22">
        <v>2013</v>
      </c>
    </row>
    <row r="710" spans="1:6" ht="15.75">
      <c r="A710" s="22" t="s">
        <v>1441</v>
      </c>
      <c r="B710" s="26">
        <v>41291</v>
      </c>
      <c r="C710" s="27">
        <v>0.74</v>
      </c>
      <c r="D710" s="25" t="str">
        <f t="shared" si="22"/>
        <v>201303</v>
      </c>
      <c r="E710" s="22" t="str">
        <f t="shared" ca="1" si="23"/>
        <v>201301</v>
      </c>
      <c r="F710" s="22">
        <v>2013</v>
      </c>
    </row>
    <row r="711" spans="1:6" ht="15.75">
      <c r="A711" s="22" t="s">
        <v>1441</v>
      </c>
      <c r="B711" s="26">
        <v>41292</v>
      </c>
      <c r="C711" s="27">
        <v>2.3199999999999998</v>
      </c>
      <c r="D711" s="25" t="str">
        <f t="shared" si="22"/>
        <v>201303</v>
      </c>
      <c r="E711" s="22" t="str">
        <f t="shared" ca="1" si="23"/>
        <v>201301</v>
      </c>
      <c r="F711" s="22">
        <v>2013</v>
      </c>
    </row>
    <row r="712" spans="1:6" ht="15.75">
      <c r="A712" s="22" t="s">
        <v>1441</v>
      </c>
      <c r="B712" s="26">
        <v>41293</v>
      </c>
      <c r="C712" s="27">
        <v>2.27</v>
      </c>
      <c r="D712" s="25" t="str">
        <f t="shared" si="22"/>
        <v>201303</v>
      </c>
      <c r="E712" s="22" t="str">
        <f t="shared" ca="1" si="23"/>
        <v>201301</v>
      </c>
      <c r="F712" s="22">
        <v>2013</v>
      </c>
    </row>
    <row r="713" spans="1:6" ht="15.75">
      <c r="A713" s="22" t="s">
        <v>1441</v>
      </c>
      <c r="B713" s="26">
        <v>41294</v>
      </c>
      <c r="C713" s="27">
        <v>1.88</v>
      </c>
      <c r="D713" s="25" t="str">
        <f t="shared" si="22"/>
        <v>201303</v>
      </c>
      <c r="E713" s="22" t="str">
        <f t="shared" ca="1" si="23"/>
        <v>201301</v>
      </c>
      <c r="F713" s="22">
        <v>2013</v>
      </c>
    </row>
    <row r="714" spans="1:6" ht="15.75">
      <c r="A714" s="22" t="s">
        <v>1441</v>
      </c>
      <c r="B714" s="26">
        <v>41295</v>
      </c>
      <c r="C714" s="27">
        <v>0.65</v>
      </c>
      <c r="D714" s="25" t="str">
        <f t="shared" si="22"/>
        <v>201304</v>
      </c>
      <c r="E714" s="22" t="str">
        <f t="shared" ca="1" si="23"/>
        <v>201301</v>
      </c>
      <c r="F714" s="22">
        <v>2013</v>
      </c>
    </row>
    <row r="715" spans="1:6" ht="15.75">
      <c r="A715" s="22" t="s">
        <v>1441</v>
      </c>
      <c r="B715" s="26">
        <v>41296</v>
      </c>
      <c r="C715" s="27">
        <v>0</v>
      </c>
      <c r="D715" s="25" t="str">
        <f t="shared" si="22"/>
        <v>201304</v>
      </c>
      <c r="E715" s="22" t="str">
        <f t="shared" ca="1" si="23"/>
        <v>201301</v>
      </c>
      <c r="F715" s="22">
        <v>2013</v>
      </c>
    </row>
    <row r="716" spans="1:6" ht="15.75">
      <c r="A716" s="22" t="s">
        <v>1441</v>
      </c>
      <c r="B716" s="26">
        <v>41297</v>
      </c>
      <c r="C716" s="27">
        <v>0</v>
      </c>
      <c r="D716" s="25" t="str">
        <f t="shared" si="22"/>
        <v>201304</v>
      </c>
      <c r="E716" s="22" t="str">
        <f t="shared" ca="1" si="23"/>
        <v>201301</v>
      </c>
      <c r="F716" s="22">
        <v>2013</v>
      </c>
    </row>
    <row r="717" spans="1:6" ht="15.75">
      <c r="A717" s="22" t="s">
        <v>1441</v>
      </c>
      <c r="B717" s="26">
        <v>41298</v>
      </c>
      <c r="C717" s="27">
        <v>0</v>
      </c>
      <c r="D717" s="25" t="str">
        <f t="shared" si="22"/>
        <v>201304</v>
      </c>
      <c r="E717" s="22" t="str">
        <f t="shared" ca="1" si="23"/>
        <v>201301</v>
      </c>
      <c r="F717" s="22">
        <v>2013</v>
      </c>
    </row>
    <row r="718" spans="1:6" ht="15.75">
      <c r="A718" s="22" t="s">
        <v>1441</v>
      </c>
      <c r="B718" s="26">
        <v>41299</v>
      </c>
      <c r="C718" s="27">
        <v>0</v>
      </c>
      <c r="D718" s="25" t="str">
        <f t="shared" si="22"/>
        <v>201304</v>
      </c>
      <c r="E718" s="22" t="str">
        <f t="shared" ca="1" si="23"/>
        <v>201301</v>
      </c>
      <c r="F718" s="22">
        <v>2013</v>
      </c>
    </row>
    <row r="719" spans="1:6" ht="15.75">
      <c r="A719" s="22" t="s">
        <v>1441</v>
      </c>
      <c r="B719" s="26">
        <v>41300</v>
      </c>
      <c r="C719" s="27">
        <v>0</v>
      </c>
      <c r="D719" s="25" t="str">
        <f t="shared" si="22"/>
        <v>201304</v>
      </c>
      <c r="E719" s="22" t="str">
        <f t="shared" ca="1" si="23"/>
        <v>201301</v>
      </c>
      <c r="F719" s="22">
        <v>2013</v>
      </c>
    </row>
    <row r="720" spans="1:6" ht="15.75">
      <c r="A720" s="22" t="s">
        <v>1441</v>
      </c>
      <c r="B720" s="26">
        <v>41301</v>
      </c>
      <c r="C720" s="27">
        <v>0</v>
      </c>
      <c r="D720" s="25" t="str">
        <f t="shared" si="22"/>
        <v>201304</v>
      </c>
      <c r="E720" s="22" t="str">
        <f t="shared" ca="1" si="23"/>
        <v>201301</v>
      </c>
      <c r="F720" s="22">
        <v>2013</v>
      </c>
    </row>
    <row r="721" spans="1:6" ht="15.75">
      <c r="A721" s="22" t="s">
        <v>1441</v>
      </c>
      <c r="B721" s="26">
        <v>41302</v>
      </c>
      <c r="C721" s="27">
        <v>0</v>
      </c>
      <c r="D721" s="25" t="str">
        <f t="shared" si="22"/>
        <v>201305</v>
      </c>
      <c r="E721" s="22" t="str">
        <f t="shared" ca="1" si="23"/>
        <v>201301</v>
      </c>
      <c r="F721" s="22">
        <v>2013</v>
      </c>
    </row>
    <row r="722" spans="1:6" ht="15.75">
      <c r="A722" s="22" t="s">
        <v>1441</v>
      </c>
      <c r="B722" s="26">
        <v>41303</v>
      </c>
      <c r="C722" s="27">
        <v>0</v>
      </c>
      <c r="D722" s="25" t="str">
        <f t="shared" si="22"/>
        <v>201305</v>
      </c>
      <c r="E722" s="22" t="str">
        <f t="shared" ca="1" si="23"/>
        <v>201301</v>
      </c>
      <c r="F722" s="22">
        <v>2013</v>
      </c>
    </row>
    <row r="723" spans="1:6" ht="15.75">
      <c r="A723" s="22" t="s">
        <v>1441</v>
      </c>
      <c r="B723" s="26">
        <v>41304</v>
      </c>
      <c r="C723" s="27">
        <v>0</v>
      </c>
      <c r="D723" s="25" t="str">
        <f t="shared" si="22"/>
        <v>201305</v>
      </c>
      <c r="E723" s="22" t="str">
        <f t="shared" ca="1" si="23"/>
        <v>201301</v>
      </c>
      <c r="F723" s="22">
        <v>2013</v>
      </c>
    </row>
    <row r="724" spans="1:6" ht="15.75">
      <c r="A724" s="22" t="s">
        <v>1441</v>
      </c>
      <c r="B724" s="26">
        <v>41305</v>
      </c>
      <c r="C724" s="27">
        <v>0</v>
      </c>
      <c r="D724" s="25" t="str">
        <f t="shared" si="22"/>
        <v>201305</v>
      </c>
      <c r="E724" s="22" t="str">
        <f t="shared" ca="1" si="23"/>
        <v>201301</v>
      </c>
      <c r="F724" s="22">
        <v>2013</v>
      </c>
    </row>
    <row r="725" spans="1:6" ht="15.75">
      <c r="A725" s="22" t="s">
        <v>1441</v>
      </c>
      <c r="B725" s="26">
        <v>41306</v>
      </c>
      <c r="C725" s="27">
        <v>0</v>
      </c>
      <c r="D725" s="25" t="str">
        <f t="shared" si="22"/>
        <v>201305</v>
      </c>
      <c r="E725" s="22" t="str">
        <f t="shared" ca="1" si="23"/>
        <v>201302</v>
      </c>
      <c r="F725" s="22">
        <v>2013</v>
      </c>
    </row>
    <row r="726" spans="1:6" ht="15.75">
      <c r="A726" s="22" t="s">
        <v>1441</v>
      </c>
      <c r="B726" s="26">
        <v>41307</v>
      </c>
      <c r="C726" s="27">
        <v>0</v>
      </c>
      <c r="D726" s="25" t="str">
        <f t="shared" si="22"/>
        <v>201305</v>
      </c>
      <c r="E726" s="22" t="str">
        <f t="shared" ca="1" si="23"/>
        <v>201302</v>
      </c>
      <c r="F726" s="22">
        <v>2013</v>
      </c>
    </row>
    <row r="727" spans="1:6" ht="15.75">
      <c r="A727" s="22" t="s">
        <v>1441</v>
      </c>
      <c r="B727" s="26">
        <v>41308</v>
      </c>
      <c r="C727" s="27">
        <v>0</v>
      </c>
      <c r="D727" s="25" t="str">
        <f t="shared" si="22"/>
        <v>201305</v>
      </c>
      <c r="E727" s="22" t="str">
        <f t="shared" ca="1" si="23"/>
        <v>201302</v>
      </c>
      <c r="F727" s="22">
        <v>2013</v>
      </c>
    </row>
    <row r="728" spans="1:6" ht="15.75">
      <c r="A728" s="22" t="s">
        <v>1441</v>
      </c>
      <c r="B728" s="26">
        <v>41309</v>
      </c>
      <c r="C728" s="27">
        <v>0</v>
      </c>
      <c r="D728" s="25" t="str">
        <f t="shared" si="22"/>
        <v>201306</v>
      </c>
      <c r="E728" s="22" t="str">
        <f t="shared" ca="1" si="23"/>
        <v>201302</v>
      </c>
      <c r="F728" s="22">
        <v>2013</v>
      </c>
    </row>
    <row r="729" spans="1:6" ht="15.75">
      <c r="A729" s="22" t="s">
        <v>1441</v>
      </c>
      <c r="B729" s="26">
        <v>41310</v>
      </c>
      <c r="C729" s="27">
        <v>0</v>
      </c>
      <c r="D729" s="25" t="str">
        <f t="shared" si="22"/>
        <v>201306</v>
      </c>
      <c r="E729" s="22" t="str">
        <f t="shared" ca="1" si="23"/>
        <v>201302</v>
      </c>
      <c r="F729" s="22">
        <v>2013</v>
      </c>
    </row>
    <row r="730" spans="1:6" ht="15.75">
      <c r="A730" s="22" t="s">
        <v>1441</v>
      </c>
      <c r="B730" s="26">
        <v>41311</v>
      </c>
      <c r="C730" s="27">
        <v>0</v>
      </c>
      <c r="D730" s="25" t="str">
        <f t="shared" si="22"/>
        <v>201306</v>
      </c>
      <c r="E730" s="22" t="str">
        <f t="shared" ca="1" si="23"/>
        <v>201302</v>
      </c>
      <c r="F730" s="22">
        <v>2013</v>
      </c>
    </row>
    <row r="731" spans="1:6" ht="15.75">
      <c r="A731" s="22" t="s">
        <v>1441</v>
      </c>
      <c r="B731" s="26">
        <v>41312</v>
      </c>
      <c r="C731" s="27">
        <v>0</v>
      </c>
      <c r="D731" s="25" t="str">
        <f t="shared" si="22"/>
        <v>201306</v>
      </c>
      <c r="E731" s="22" t="str">
        <f t="shared" ca="1" si="23"/>
        <v>201302</v>
      </c>
      <c r="F731" s="22">
        <v>2013</v>
      </c>
    </row>
    <row r="732" spans="1:6" ht="15.75">
      <c r="A732" s="22" t="s">
        <v>1441</v>
      </c>
      <c r="B732" s="26">
        <v>41313</v>
      </c>
      <c r="C732" s="27">
        <v>0</v>
      </c>
      <c r="D732" s="25" t="str">
        <f t="shared" si="22"/>
        <v>201306</v>
      </c>
      <c r="E732" s="22" t="str">
        <f t="shared" ca="1" si="23"/>
        <v>201302</v>
      </c>
      <c r="F732" s="22">
        <v>2013</v>
      </c>
    </row>
    <row r="733" spans="1:6" ht="15.75">
      <c r="A733" s="22" t="s">
        <v>1441</v>
      </c>
      <c r="B733" s="26">
        <v>41314</v>
      </c>
      <c r="C733" s="27">
        <v>0</v>
      </c>
      <c r="D733" s="25" t="str">
        <f t="shared" si="22"/>
        <v>201306</v>
      </c>
      <c r="E733" s="22" t="str">
        <f t="shared" ca="1" si="23"/>
        <v>201302</v>
      </c>
      <c r="F733" s="22">
        <v>2013</v>
      </c>
    </row>
    <row r="734" spans="1:6" ht="15.75">
      <c r="A734" s="22" t="s">
        <v>1441</v>
      </c>
      <c r="B734" s="26">
        <v>41315</v>
      </c>
      <c r="C734" s="27">
        <v>0</v>
      </c>
      <c r="D734" s="25" t="str">
        <f t="shared" si="22"/>
        <v>201306</v>
      </c>
      <c r="E734" s="22" t="str">
        <f t="shared" ca="1" si="23"/>
        <v>201302</v>
      </c>
      <c r="F734" s="22">
        <v>2013</v>
      </c>
    </row>
    <row r="735" spans="1:6" ht="15.75">
      <c r="A735" s="22" t="s">
        <v>1441</v>
      </c>
      <c r="B735" s="26">
        <v>41316</v>
      </c>
      <c r="C735" s="27">
        <v>0</v>
      </c>
      <c r="D735" s="25" t="str">
        <f t="shared" si="22"/>
        <v>201307</v>
      </c>
      <c r="E735" s="22" t="str">
        <f t="shared" ca="1" si="23"/>
        <v>201302</v>
      </c>
      <c r="F735" s="22">
        <v>2013</v>
      </c>
    </row>
    <row r="736" spans="1:6" ht="15.75">
      <c r="A736" s="22" t="s">
        <v>1441</v>
      </c>
      <c r="B736" s="26">
        <v>41317</v>
      </c>
      <c r="C736" s="27">
        <v>0</v>
      </c>
      <c r="D736" s="25" t="str">
        <f t="shared" si="22"/>
        <v>201307</v>
      </c>
      <c r="E736" s="22" t="str">
        <f t="shared" ca="1" si="23"/>
        <v>201302</v>
      </c>
      <c r="F736" s="22">
        <v>2013</v>
      </c>
    </row>
    <row r="737" spans="1:6" ht="15.75">
      <c r="A737" s="22" t="s">
        <v>1441</v>
      </c>
      <c r="B737" s="26">
        <v>41318</v>
      </c>
      <c r="C737" s="27">
        <v>0.89</v>
      </c>
      <c r="D737" s="25" t="str">
        <f t="shared" si="22"/>
        <v>201307</v>
      </c>
      <c r="E737" s="22" t="str">
        <f t="shared" ca="1" si="23"/>
        <v>201302</v>
      </c>
      <c r="F737" s="22">
        <v>2013</v>
      </c>
    </row>
    <row r="738" spans="1:6" ht="15.75">
      <c r="A738" s="22" t="s">
        <v>1441</v>
      </c>
      <c r="B738" s="26">
        <v>41319</v>
      </c>
      <c r="C738" s="27">
        <v>3.29</v>
      </c>
      <c r="D738" s="25" t="str">
        <f t="shared" si="22"/>
        <v>201307</v>
      </c>
      <c r="E738" s="22" t="str">
        <f t="shared" ca="1" si="23"/>
        <v>201302</v>
      </c>
      <c r="F738" s="22">
        <v>2013</v>
      </c>
    </row>
    <row r="739" spans="1:6" ht="15.75">
      <c r="A739" s="22" t="s">
        <v>1441</v>
      </c>
      <c r="B739" s="26">
        <v>41320</v>
      </c>
      <c r="C739" s="27">
        <v>0.38</v>
      </c>
      <c r="D739" s="25" t="str">
        <f t="shared" si="22"/>
        <v>201307</v>
      </c>
      <c r="E739" s="22" t="str">
        <f t="shared" ca="1" si="23"/>
        <v>201302</v>
      </c>
      <c r="F739" s="22">
        <v>2013</v>
      </c>
    </row>
    <row r="740" spans="1:6" ht="15.75">
      <c r="A740" s="22" t="s">
        <v>1441</v>
      </c>
      <c r="B740" s="26">
        <v>41321</v>
      </c>
      <c r="C740" s="27">
        <v>0</v>
      </c>
      <c r="D740" s="25" t="str">
        <f t="shared" si="22"/>
        <v>201307</v>
      </c>
      <c r="E740" s="22" t="str">
        <f t="shared" ca="1" si="23"/>
        <v>201302</v>
      </c>
      <c r="F740" s="22">
        <v>2013</v>
      </c>
    </row>
    <row r="741" spans="1:6" ht="15.75">
      <c r="A741" s="22" t="s">
        <v>1441</v>
      </c>
      <c r="B741" s="26">
        <v>41322</v>
      </c>
      <c r="C741" s="27">
        <v>0</v>
      </c>
      <c r="D741" s="25" t="str">
        <f t="shared" si="22"/>
        <v>201307</v>
      </c>
      <c r="E741" s="22" t="str">
        <f t="shared" ca="1" si="23"/>
        <v>201302</v>
      </c>
      <c r="F741" s="22">
        <v>2013</v>
      </c>
    </row>
    <row r="742" spans="1:6" ht="15.75">
      <c r="A742" s="22" t="s">
        <v>1441</v>
      </c>
      <c r="B742" s="26">
        <v>41323</v>
      </c>
      <c r="C742" s="27">
        <v>0</v>
      </c>
      <c r="D742" s="25" t="str">
        <f t="shared" si="22"/>
        <v>201308</v>
      </c>
      <c r="E742" s="22" t="str">
        <f t="shared" ca="1" si="23"/>
        <v>201302</v>
      </c>
      <c r="F742" s="22">
        <v>2013</v>
      </c>
    </row>
    <row r="743" spans="1:6" ht="15.75">
      <c r="A743" s="22" t="s">
        <v>1441</v>
      </c>
      <c r="B743" s="26">
        <v>41324</v>
      </c>
      <c r="C743" s="27">
        <v>0</v>
      </c>
      <c r="D743" s="25" t="str">
        <f t="shared" si="22"/>
        <v>201308</v>
      </c>
      <c r="E743" s="22" t="str">
        <f t="shared" ca="1" si="23"/>
        <v>201302</v>
      </c>
      <c r="F743" s="22">
        <v>2013</v>
      </c>
    </row>
    <row r="744" spans="1:6" ht="15.75">
      <c r="A744" s="22" t="s">
        <v>1441</v>
      </c>
      <c r="B744" s="26">
        <v>41325</v>
      </c>
      <c r="C744" s="27">
        <v>0</v>
      </c>
      <c r="D744" s="25" t="str">
        <f t="shared" si="22"/>
        <v>201308</v>
      </c>
      <c r="E744" s="22" t="str">
        <f t="shared" ca="1" si="23"/>
        <v>201302</v>
      </c>
      <c r="F744" s="22">
        <v>2013</v>
      </c>
    </row>
    <row r="745" spans="1:6" ht="15.75">
      <c r="A745" s="22" t="s">
        <v>1441</v>
      </c>
      <c r="B745" s="26">
        <v>41326</v>
      </c>
      <c r="C745" s="27">
        <v>0</v>
      </c>
      <c r="D745" s="25" t="str">
        <f t="shared" si="22"/>
        <v>201308</v>
      </c>
      <c r="E745" s="22" t="str">
        <f t="shared" ca="1" si="23"/>
        <v>201302</v>
      </c>
      <c r="F745" s="22">
        <v>2013</v>
      </c>
    </row>
    <row r="746" spans="1:6" ht="15.75">
      <c r="A746" s="22" t="s">
        <v>1441</v>
      </c>
      <c r="B746" s="26">
        <v>41327</v>
      </c>
      <c r="C746" s="27">
        <v>0</v>
      </c>
      <c r="D746" s="25" t="str">
        <f t="shared" si="22"/>
        <v>201308</v>
      </c>
      <c r="E746" s="22" t="str">
        <f t="shared" ca="1" si="23"/>
        <v>201302</v>
      </c>
      <c r="F746" s="22">
        <v>2013</v>
      </c>
    </row>
    <row r="747" spans="1:6" ht="15.75">
      <c r="A747" s="22" t="s">
        <v>1441</v>
      </c>
      <c r="B747" s="26">
        <v>41328</v>
      </c>
      <c r="C747" s="27">
        <v>0</v>
      </c>
      <c r="D747" s="25" t="str">
        <f t="shared" si="22"/>
        <v>201308</v>
      </c>
      <c r="E747" s="22" t="str">
        <f t="shared" ca="1" si="23"/>
        <v>201302</v>
      </c>
      <c r="F747" s="22">
        <v>2013</v>
      </c>
    </row>
    <row r="748" spans="1:6" ht="15.75">
      <c r="A748" s="22" t="s">
        <v>1441</v>
      </c>
      <c r="B748" s="26">
        <v>41329</v>
      </c>
      <c r="C748" s="27">
        <v>0</v>
      </c>
      <c r="D748" s="25" t="str">
        <f t="shared" si="22"/>
        <v>201308</v>
      </c>
      <c r="E748" s="22" t="str">
        <f t="shared" ca="1" si="23"/>
        <v>201302</v>
      </c>
      <c r="F748" s="22">
        <v>2013</v>
      </c>
    </row>
    <row r="749" spans="1:6" ht="15.75">
      <c r="A749" s="22" t="s">
        <v>1441</v>
      </c>
      <c r="B749" s="26">
        <v>41330</v>
      </c>
      <c r="C749" s="27">
        <v>0</v>
      </c>
      <c r="D749" s="25" t="str">
        <f t="shared" si="22"/>
        <v>201309</v>
      </c>
      <c r="E749" s="22" t="str">
        <f t="shared" ca="1" si="23"/>
        <v>201302</v>
      </c>
      <c r="F749" s="22">
        <v>2013</v>
      </c>
    </row>
    <row r="750" spans="1:6" ht="15.75">
      <c r="A750" s="22" t="s">
        <v>1441</v>
      </c>
      <c r="B750" s="26">
        <v>41331</v>
      </c>
      <c r="C750" s="27">
        <v>0</v>
      </c>
      <c r="D750" s="25" t="str">
        <f t="shared" si="22"/>
        <v>201309</v>
      </c>
      <c r="E750" s="22" t="str">
        <f t="shared" ca="1" si="23"/>
        <v>201302</v>
      </c>
      <c r="F750" s="22">
        <v>2013</v>
      </c>
    </row>
    <row r="751" spans="1:6" ht="15.75">
      <c r="A751" s="22" t="s">
        <v>1441</v>
      </c>
      <c r="B751" s="26">
        <v>41332</v>
      </c>
      <c r="C751" s="27">
        <v>0</v>
      </c>
      <c r="D751" s="25" t="str">
        <f t="shared" si="22"/>
        <v>201309</v>
      </c>
      <c r="E751" s="22" t="str">
        <f t="shared" ca="1" si="23"/>
        <v>201302</v>
      </c>
      <c r="F751" s="22">
        <v>2013</v>
      </c>
    </row>
    <row r="752" spans="1:6" ht="15.75">
      <c r="A752" s="22" t="s">
        <v>1441</v>
      </c>
      <c r="B752" s="26">
        <v>41333</v>
      </c>
      <c r="C752" s="27">
        <v>0</v>
      </c>
      <c r="D752" s="25" t="str">
        <f t="shared" si="22"/>
        <v>201309</v>
      </c>
      <c r="E752" s="22" t="str">
        <f t="shared" ca="1" si="23"/>
        <v>201302</v>
      </c>
      <c r="F752" s="22">
        <v>2013</v>
      </c>
    </row>
    <row r="753" spans="1:6" ht="15.75">
      <c r="A753" s="22" t="s">
        <v>1441</v>
      </c>
      <c r="B753" s="26">
        <v>41334</v>
      </c>
      <c r="C753" s="27">
        <v>0</v>
      </c>
      <c r="D753" s="25" t="str">
        <f t="shared" si="22"/>
        <v>201309</v>
      </c>
      <c r="E753" s="22" t="str">
        <f t="shared" ca="1" si="23"/>
        <v>201303</v>
      </c>
      <c r="F753" s="22">
        <v>2013</v>
      </c>
    </row>
    <row r="754" spans="1:6" ht="15.75">
      <c r="A754" s="22" t="s">
        <v>1441</v>
      </c>
      <c r="B754" s="26">
        <v>41335</v>
      </c>
      <c r="C754" s="27">
        <v>0</v>
      </c>
      <c r="D754" s="25" t="str">
        <f t="shared" si="22"/>
        <v>201309</v>
      </c>
      <c r="E754" s="22" t="str">
        <f t="shared" ca="1" si="23"/>
        <v>201303</v>
      </c>
      <c r="F754" s="22">
        <v>2013</v>
      </c>
    </row>
    <row r="755" spans="1:6" ht="15.75">
      <c r="A755" s="22" t="s">
        <v>1441</v>
      </c>
      <c r="B755" s="26">
        <v>41336</v>
      </c>
      <c r="C755" s="27">
        <v>0</v>
      </c>
      <c r="D755" s="25" t="str">
        <f t="shared" si="22"/>
        <v>201309</v>
      </c>
      <c r="E755" s="22" t="str">
        <f t="shared" ca="1" si="23"/>
        <v>201303</v>
      </c>
      <c r="F755" s="22">
        <v>2013</v>
      </c>
    </row>
    <row r="756" spans="1:6" ht="15.75">
      <c r="A756" s="22" t="s">
        <v>1441</v>
      </c>
      <c r="B756" s="26">
        <v>41337</v>
      </c>
      <c r="C756" s="27">
        <v>0</v>
      </c>
      <c r="D756" s="25" t="str">
        <f t="shared" si="22"/>
        <v>201310</v>
      </c>
      <c r="E756" s="22" t="str">
        <f t="shared" ca="1" si="23"/>
        <v>201303</v>
      </c>
      <c r="F756" s="22">
        <v>2013</v>
      </c>
    </row>
    <row r="757" spans="1:6" ht="15.75">
      <c r="A757" s="22" t="s">
        <v>1441</v>
      </c>
      <c r="B757" s="26">
        <v>41338</v>
      </c>
      <c r="C757" s="27">
        <v>0</v>
      </c>
      <c r="D757" s="25" t="str">
        <f t="shared" si="22"/>
        <v>201310</v>
      </c>
      <c r="E757" s="22" t="str">
        <f t="shared" ca="1" si="23"/>
        <v>201303</v>
      </c>
      <c r="F757" s="22">
        <v>2013</v>
      </c>
    </row>
    <row r="758" spans="1:6" ht="15.75">
      <c r="A758" s="22" t="s">
        <v>1441</v>
      </c>
      <c r="B758" s="26">
        <v>41339</v>
      </c>
      <c r="C758" s="27">
        <v>0</v>
      </c>
      <c r="D758" s="25" t="str">
        <f t="shared" si="22"/>
        <v>201310</v>
      </c>
      <c r="E758" s="22" t="str">
        <f t="shared" ca="1" si="23"/>
        <v>201303</v>
      </c>
      <c r="F758" s="22">
        <v>2013</v>
      </c>
    </row>
    <row r="759" spans="1:6" ht="15.75">
      <c r="A759" s="22" t="s">
        <v>1441</v>
      </c>
      <c r="B759" s="26">
        <v>41340</v>
      </c>
      <c r="C759" s="27">
        <v>0</v>
      </c>
      <c r="D759" s="25" t="str">
        <f t="shared" si="22"/>
        <v>201310</v>
      </c>
      <c r="E759" s="22" t="str">
        <f t="shared" ca="1" si="23"/>
        <v>201303</v>
      </c>
      <c r="F759" s="22">
        <v>2013</v>
      </c>
    </row>
    <row r="760" spans="1:6" ht="15.75">
      <c r="A760" s="22" t="s">
        <v>1441</v>
      </c>
      <c r="B760" s="26">
        <v>41341</v>
      </c>
      <c r="C760" s="27">
        <v>0</v>
      </c>
      <c r="D760" s="25" t="str">
        <f t="shared" si="22"/>
        <v>201310</v>
      </c>
      <c r="E760" s="22" t="str">
        <f t="shared" ca="1" si="23"/>
        <v>201303</v>
      </c>
      <c r="F760" s="22">
        <v>2013</v>
      </c>
    </row>
    <row r="761" spans="1:6" ht="15.75">
      <c r="A761" s="22" t="s">
        <v>1441</v>
      </c>
      <c r="B761" s="26">
        <v>41342</v>
      </c>
      <c r="C761" s="27">
        <v>0</v>
      </c>
      <c r="D761" s="25" t="str">
        <f t="shared" si="22"/>
        <v>201310</v>
      </c>
      <c r="E761" s="22" t="str">
        <f t="shared" ca="1" si="23"/>
        <v>201303</v>
      </c>
      <c r="F761" s="22">
        <v>2013</v>
      </c>
    </row>
    <row r="762" spans="1:6" ht="15.75">
      <c r="A762" s="22" t="s">
        <v>1441</v>
      </c>
      <c r="B762" s="26">
        <v>41343</v>
      </c>
      <c r="C762" s="27">
        <v>0</v>
      </c>
      <c r="D762" s="25" t="str">
        <f t="shared" si="22"/>
        <v>201310</v>
      </c>
      <c r="E762" s="22" t="str">
        <f t="shared" ca="1" si="23"/>
        <v>201303</v>
      </c>
      <c r="F762" s="22">
        <v>2013</v>
      </c>
    </row>
    <row r="763" spans="1:6" ht="15.75">
      <c r="A763" s="22" t="s">
        <v>1441</v>
      </c>
      <c r="B763" s="26">
        <v>41344</v>
      </c>
      <c r="C763" s="27">
        <v>0</v>
      </c>
      <c r="D763" s="25" t="str">
        <f t="shared" si="22"/>
        <v>201311</v>
      </c>
      <c r="E763" s="22" t="str">
        <f t="shared" ca="1" si="23"/>
        <v>201303</v>
      </c>
      <c r="F763" s="22">
        <v>2013</v>
      </c>
    </row>
    <row r="764" spans="1:6" ht="15.75">
      <c r="A764" s="22" t="s">
        <v>1441</v>
      </c>
      <c r="B764" s="26">
        <v>41345</v>
      </c>
      <c r="C764" s="27">
        <v>0</v>
      </c>
      <c r="D764" s="25" t="str">
        <f t="shared" si="22"/>
        <v>201311</v>
      </c>
      <c r="E764" s="22" t="str">
        <f t="shared" ca="1" si="23"/>
        <v>201303</v>
      </c>
      <c r="F764" s="22">
        <v>2013</v>
      </c>
    </row>
    <row r="765" spans="1:6" ht="15.75">
      <c r="A765" s="22" t="s">
        <v>1441</v>
      </c>
      <c r="B765" s="26">
        <v>41346</v>
      </c>
      <c r="C765" s="27">
        <v>0</v>
      </c>
      <c r="D765" s="25" t="str">
        <f t="shared" si="22"/>
        <v>201311</v>
      </c>
      <c r="E765" s="22" t="str">
        <f t="shared" ca="1" si="23"/>
        <v>201303</v>
      </c>
      <c r="F765" s="22">
        <v>2013</v>
      </c>
    </row>
    <row r="766" spans="1:6" ht="15.75">
      <c r="A766" s="22" t="s">
        <v>1441</v>
      </c>
      <c r="B766" s="26">
        <v>41347</v>
      </c>
      <c r="C766" s="27">
        <v>0</v>
      </c>
      <c r="D766" s="25" t="str">
        <f t="shared" si="22"/>
        <v>201311</v>
      </c>
      <c r="E766" s="22" t="str">
        <f t="shared" ca="1" si="23"/>
        <v>201303</v>
      </c>
      <c r="F766" s="22">
        <v>2013</v>
      </c>
    </row>
    <row r="767" spans="1:6" ht="15.75">
      <c r="A767" s="22" t="s">
        <v>1441</v>
      </c>
      <c r="B767" s="26">
        <v>41348</v>
      </c>
      <c r="C767" s="27">
        <v>0</v>
      </c>
      <c r="D767" s="25" t="str">
        <f t="shared" si="22"/>
        <v>201311</v>
      </c>
      <c r="E767" s="22" t="str">
        <f t="shared" ca="1" si="23"/>
        <v>201303</v>
      </c>
      <c r="F767" s="22">
        <v>2013</v>
      </c>
    </row>
    <row r="768" spans="1:6" ht="15.75">
      <c r="A768" s="22" t="s">
        <v>1441</v>
      </c>
      <c r="B768" s="26">
        <v>41349</v>
      </c>
      <c r="C768" s="27">
        <v>0</v>
      </c>
      <c r="D768" s="25" t="str">
        <f t="shared" si="22"/>
        <v>201311</v>
      </c>
      <c r="E768" s="22" t="str">
        <f t="shared" ca="1" si="23"/>
        <v>201303</v>
      </c>
      <c r="F768" s="22">
        <v>2013</v>
      </c>
    </row>
    <row r="769" spans="1:6" ht="15.75">
      <c r="A769" s="22" t="s">
        <v>1441</v>
      </c>
      <c r="B769" s="26">
        <v>41350</v>
      </c>
      <c r="C769" s="27">
        <v>0</v>
      </c>
      <c r="D769" s="25" t="str">
        <f t="shared" si="22"/>
        <v>201311</v>
      </c>
      <c r="E769" s="22" t="str">
        <f t="shared" ca="1" si="23"/>
        <v>201303</v>
      </c>
      <c r="F769" s="22">
        <v>2013</v>
      </c>
    </row>
    <row r="770" spans="1:6" ht="15.75">
      <c r="A770" s="22" t="s">
        <v>1441</v>
      </c>
      <c r="B770" s="26">
        <v>41351</v>
      </c>
      <c r="C770" s="27">
        <v>0</v>
      </c>
      <c r="D770" s="25" t="str">
        <f t="shared" si="22"/>
        <v>201312</v>
      </c>
      <c r="E770" s="22" t="str">
        <f t="shared" ca="1" si="23"/>
        <v>201303</v>
      </c>
      <c r="F770" s="22">
        <v>2013</v>
      </c>
    </row>
    <row r="771" spans="1:6" ht="15.75">
      <c r="A771" s="22" t="s">
        <v>1441</v>
      </c>
      <c r="B771" s="26">
        <v>41352</v>
      </c>
      <c r="C771" s="27">
        <v>0</v>
      </c>
      <c r="D771" s="25" t="str">
        <f t="shared" ref="D771:D834" si="24">CONCATENATE(YEAR(B771-WEEKDAY(B771,3)+3),TEXT(WEEKNUM(B771,21),"00"))</f>
        <v>201312</v>
      </c>
      <c r="E771" s="22" t="str">
        <f t="shared" ref="E771:E834" ca="1" si="25">IF(
  AND(
    YEAR(B771)=YEAR(TODAY())-1,
    MONTH(B771)=MONTH(TODAY()),
    DAY(B771)&gt;DAY($H$2)
  ),
  0,
  CONCATENATE(YEAR(B771),TEXT(MONTH(B771),"00"))
)</f>
        <v>201303</v>
      </c>
      <c r="F771" s="22">
        <v>2013</v>
      </c>
    </row>
    <row r="772" spans="1:6" ht="15.75">
      <c r="A772" s="22" t="s">
        <v>1441</v>
      </c>
      <c r="B772" s="26">
        <v>41353</v>
      </c>
      <c r="C772" s="27">
        <v>0</v>
      </c>
      <c r="D772" s="25" t="str">
        <f t="shared" si="24"/>
        <v>201312</v>
      </c>
      <c r="E772" s="22" t="str">
        <f t="shared" ca="1" si="25"/>
        <v>201303</v>
      </c>
      <c r="F772" s="22">
        <v>2013</v>
      </c>
    </row>
    <row r="773" spans="1:6" ht="15.75">
      <c r="A773" s="22" t="s">
        <v>1441</v>
      </c>
      <c r="B773" s="26">
        <v>41354</v>
      </c>
      <c r="C773" s="27">
        <v>0</v>
      </c>
      <c r="D773" s="25" t="str">
        <f t="shared" si="24"/>
        <v>201312</v>
      </c>
      <c r="E773" s="22" t="str">
        <f t="shared" ca="1" si="25"/>
        <v>201303</v>
      </c>
      <c r="F773" s="22">
        <v>2013</v>
      </c>
    </row>
    <row r="774" spans="1:6" ht="15.75">
      <c r="A774" s="22" t="s">
        <v>1441</v>
      </c>
      <c r="B774" s="26">
        <v>41355</v>
      </c>
      <c r="C774" s="27">
        <v>0</v>
      </c>
      <c r="D774" s="25" t="str">
        <f t="shared" si="24"/>
        <v>201312</v>
      </c>
      <c r="E774" s="22" t="str">
        <f t="shared" ca="1" si="25"/>
        <v>201303</v>
      </c>
      <c r="F774" s="22">
        <v>2013</v>
      </c>
    </row>
    <row r="775" spans="1:6" ht="15.75">
      <c r="A775" s="22" t="s">
        <v>1441</v>
      </c>
      <c r="B775" s="26">
        <v>41356</v>
      </c>
      <c r="C775" s="27">
        <v>0</v>
      </c>
      <c r="D775" s="25" t="str">
        <f t="shared" si="24"/>
        <v>201312</v>
      </c>
      <c r="E775" s="22" t="str">
        <f t="shared" ca="1" si="25"/>
        <v>201303</v>
      </c>
      <c r="F775" s="22">
        <v>2013</v>
      </c>
    </row>
    <row r="776" spans="1:6" ht="15.75">
      <c r="A776" s="22" t="s">
        <v>1441</v>
      </c>
      <c r="B776" s="26">
        <v>41357</v>
      </c>
      <c r="C776" s="27">
        <v>0</v>
      </c>
      <c r="D776" s="25" t="str">
        <f t="shared" si="24"/>
        <v>201312</v>
      </c>
      <c r="E776" s="22" t="str">
        <f t="shared" ca="1" si="25"/>
        <v>201303</v>
      </c>
      <c r="F776" s="22">
        <v>2013</v>
      </c>
    </row>
    <row r="777" spans="1:6" ht="15.75">
      <c r="A777" s="22" t="s">
        <v>1441</v>
      </c>
      <c r="B777" s="26">
        <v>41358</v>
      </c>
      <c r="C777" s="27">
        <v>0</v>
      </c>
      <c r="D777" s="25" t="str">
        <f t="shared" si="24"/>
        <v>201313</v>
      </c>
      <c r="E777" s="22" t="str">
        <f t="shared" ca="1" si="25"/>
        <v>201303</v>
      </c>
      <c r="F777" s="22">
        <v>2013</v>
      </c>
    </row>
    <row r="778" spans="1:6" ht="15.75">
      <c r="A778" s="22" t="s">
        <v>1441</v>
      </c>
      <c r="B778" s="26">
        <v>41359</v>
      </c>
      <c r="C778" s="27">
        <v>0</v>
      </c>
      <c r="D778" s="25" t="str">
        <f t="shared" si="24"/>
        <v>201313</v>
      </c>
      <c r="E778" s="22" t="str">
        <f t="shared" ca="1" si="25"/>
        <v>201303</v>
      </c>
      <c r="F778" s="22">
        <v>2013</v>
      </c>
    </row>
    <row r="779" spans="1:6" ht="15.75">
      <c r="A779" s="22" t="s">
        <v>1441</v>
      </c>
      <c r="B779" s="26">
        <v>41360</v>
      </c>
      <c r="C779" s="27">
        <v>0</v>
      </c>
      <c r="D779" s="25" t="str">
        <f t="shared" si="24"/>
        <v>201313</v>
      </c>
      <c r="E779" s="22" t="str">
        <f t="shared" ca="1" si="25"/>
        <v>201303</v>
      </c>
      <c r="F779" s="22">
        <v>2013</v>
      </c>
    </row>
    <row r="780" spans="1:6" ht="15.75">
      <c r="A780" s="22" t="s">
        <v>1441</v>
      </c>
      <c r="B780" s="26">
        <v>41361</v>
      </c>
      <c r="C780" s="27">
        <v>0</v>
      </c>
      <c r="D780" s="25" t="str">
        <f t="shared" si="24"/>
        <v>201313</v>
      </c>
      <c r="E780" s="22" t="str">
        <f t="shared" ca="1" si="25"/>
        <v>201303</v>
      </c>
      <c r="F780" s="22">
        <v>2013</v>
      </c>
    </row>
    <row r="781" spans="1:6" ht="15.75">
      <c r="A781" s="22" t="s">
        <v>1441</v>
      </c>
      <c r="B781" s="26">
        <v>41362</v>
      </c>
      <c r="C781" s="27">
        <v>0</v>
      </c>
      <c r="D781" s="25" t="str">
        <f t="shared" si="24"/>
        <v>201313</v>
      </c>
      <c r="E781" s="22" t="str">
        <f t="shared" ca="1" si="25"/>
        <v>201303</v>
      </c>
      <c r="F781" s="22">
        <v>2013</v>
      </c>
    </row>
    <row r="782" spans="1:6" ht="15.75">
      <c r="A782" s="22" t="s">
        <v>1441</v>
      </c>
      <c r="B782" s="26">
        <v>41363</v>
      </c>
      <c r="C782" s="27">
        <v>0</v>
      </c>
      <c r="D782" s="25" t="str">
        <f t="shared" si="24"/>
        <v>201313</v>
      </c>
      <c r="E782" s="22" t="str">
        <f t="shared" ca="1" si="25"/>
        <v>201303</v>
      </c>
      <c r="F782" s="22">
        <v>2013</v>
      </c>
    </row>
    <row r="783" spans="1:6" ht="15.75">
      <c r="A783" s="22" t="s">
        <v>1441</v>
      </c>
      <c r="B783" s="26">
        <v>41364</v>
      </c>
      <c r="C783" s="27">
        <v>0</v>
      </c>
      <c r="D783" s="25" t="str">
        <f t="shared" si="24"/>
        <v>201313</v>
      </c>
      <c r="E783" s="22" t="str">
        <f t="shared" ca="1" si="25"/>
        <v>201303</v>
      </c>
      <c r="F783" s="22">
        <v>2013</v>
      </c>
    </row>
    <row r="784" spans="1:6" ht="15.75">
      <c r="A784" s="22" t="s">
        <v>1441</v>
      </c>
      <c r="B784" s="26">
        <v>41365</v>
      </c>
      <c r="C784" s="27">
        <v>0</v>
      </c>
      <c r="D784" s="25" t="str">
        <f t="shared" si="24"/>
        <v>201314</v>
      </c>
      <c r="E784" s="22" t="str">
        <f t="shared" ca="1" si="25"/>
        <v>201304</v>
      </c>
      <c r="F784" s="22">
        <v>2013</v>
      </c>
    </row>
    <row r="785" spans="1:6" ht="15.75">
      <c r="A785" s="22" t="s">
        <v>1441</v>
      </c>
      <c r="B785" s="26">
        <v>41366</v>
      </c>
      <c r="C785" s="27">
        <v>0</v>
      </c>
      <c r="D785" s="25" t="str">
        <f t="shared" si="24"/>
        <v>201314</v>
      </c>
      <c r="E785" s="22" t="str">
        <f t="shared" ca="1" si="25"/>
        <v>201304</v>
      </c>
      <c r="F785" s="22">
        <v>2013</v>
      </c>
    </row>
    <row r="786" spans="1:6" ht="15.75">
      <c r="A786" s="22" t="s">
        <v>1441</v>
      </c>
      <c r="B786" s="26">
        <v>41367</v>
      </c>
      <c r="C786" s="27">
        <v>0</v>
      </c>
      <c r="D786" s="25" t="str">
        <f t="shared" si="24"/>
        <v>201314</v>
      </c>
      <c r="E786" s="22" t="str">
        <f t="shared" ca="1" si="25"/>
        <v>201304</v>
      </c>
      <c r="F786" s="22">
        <v>2013</v>
      </c>
    </row>
    <row r="787" spans="1:6" ht="15.75">
      <c r="A787" s="22" t="s">
        <v>1441</v>
      </c>
      <c r="B787" s="26">
        <v>41368</v>
      </c>
      <c r="C787" s="27">
        <v>0</v>
      </c>
      <c r="D787" s="25" t="str">
        <f t="shared" si="24"/>
        <v>201314</v>
      </c>
      <c r="E787" s="22" t="str">
        <f t="shared" ca="1" si="25"/>
        <v>201304</v>
      </c>
      <c r="F787" s="22">
        <v>2013</v>
      </c>
    </row>
    <row r="788" spans="1:6" ht="15.75">
      <c r="A788" s="22" t="s">
        <v>1441</v>
      </c>
      <c r="B788" s="26">
        <v>41369</v>
      </c>
      <c r="C788" s="27">
        <v>0</v>
      </c>
      <c r="D788" s="25" t="str">
        <f t="shared" si="24"/>
        <v>201314</v>
      </c>
      <c r="E788" s="22" t="str">
        <f t="shared" ca="1" si="25"/>
        <v>201304</v>
      </c>
      <c r="F788" s="22">
        <v>2013</v>
      </c>
    </row>
    <row r="789" spans="1:6" ht="15.75">
      <c r="A789" s="22" t="s">
        <v>1441</v>
      </c>
      <c r="B789" s="26">
        <v>41370</v>
      </c>
      <c r="C789" s="27">
        <v>0</v>
      </c>
      <c r="D789" s="25" t="str">
        <f t="shared" si="24"/>
        <v>201314</v>
      </c>
      <c r="E789" s="22" t="str">
        <f t="shared" ca="1" si="25"/>
        <v>201304</v>
      </c>
      <c r="F789" s="22">
        <v>2013</v>
      </c>
    </row>
    <row r="790" spans="1:6" ht="15.75">
      <c r="A790" s="22" t="s">
        <v>1441</v>
      </c>
      <c r="B790" s="26">
        <v>41371</v>
      </c>
      <c r="C790" s="27">
        <v>0</v>
      </c>
      <c r="D790" s="25" t="str">
        <f t="shared" si="24"/>
        <v>201314</v>
      </c>
      <c r="E790" s="22" t="str">
        <f t="shared" ca="1" si="25"/>
        <v>201304</v>
      </c>
      <c r="F790" s="22">
        <v>2013</v>
      </c>
    </row>
    <row r="791" spans="1:6" ht="15.75">
      <c r="A791" s="22" t="s">
        <v>1441</v>
      </c>
      <c r="B791" s="26">
        <v>41372</v>
      </c>
      <c r="C791" s="27">
        <v>0</v>
      </c>
      <c r="D791" s="25" t="str">
        <f t="shared" si="24"/>
        <v>201315</v>
      </c>
      <c r="E791" s="22" t="str">
        <f t="shared" ca="1" si="25"/>
        <v>201304</v>
      </c>
      <c r="F791" s="22">
        <v>2013</v>
      </c>
    </row>
    <row r="792" spans="1:6" ht="15.75">
      <c r="A792" s="22" t="s">
        <v>1441</v>
      </c>
      <c r="B792" s="26">
        <v>41373</v>
      </c>
      <c r="C792" s="27">
        <v>0</v>
      </c>
      <c r="D792" s="25" t="str">
        <f t="shared" si="24"/>
        <v>201315</v>
      </c>
      <c r="E792" s="22" t="str">
        <f t="shared" ca="1" si="25"/>
        <v>201304</v>
      </c>
      <c r="F792" s="22">
        <v>2013</v>
      </c>
    </row>
    <row r="793" spans="1:6" ht="15.75">
      <c r="A793" s="22" t="s">
        <v>1441</v>
      </c>
      <c r="B793" s="26">
        <v>41374</v>
      </c>
      <c r="C793" s="27">
        <v>0</v>
      </c>
      <c r="D793" s="25" t="str">
        <f t="shared" si="24"/>
        <v>201315</v>
      </c>
      <c r="E793" s="22" t="str">
        <f t="shared" ca="1" si="25"/>
        <v>201304</v>
      </c>
      <c r="F793" s="22">
        <v>2013</v>
      </c>
    </row>
    <row r="794" spans="1:6" ht="15.75">
      <c r="A794" s="22" t="s">
        <v>1441</v>
      </c>
      <c r="B794" s="26">
        <v>41375</v>
      </c>
      <c r="C794" s="27">
        <v>0</v>
      </c>
      <c r="D794" s="25" t="str">
        <f t="shared" si="24"/>
        <v>201315</v>
      </c>
      <c r="E794" s="22" t="str">
        <f t="shared" ca="1" si="25"/>
        <v>201304</v>
      </c>
      <c r="F794" s="22">
        <v>2013</v>
      </c>
    </row>
    <row r="795" spans="1:6" ht="15.75">
      <c r="A795" s="22" t="s">
        <v>1441</v>
      </c>
      <c r="B795" s="26">
        <v>41376</v>
      </c>
      <c r="C795" s="27">
        <v>0</v>
      </c>
      <c r="D795" s="25" t="str">
        <f t="shared" si="24"/>
        <v>201315</v>
      </c>
      <c r="E795" s="22" t="str">
        <f t="shared" ca="1" si="25"/>
        <v>201304</v>
      </c>
      <c r="F795" s="22">
        <v>2013</v>
      </c>
    </row>
    <row r="796" spans="1:6" ht="15.75">
      <c r="A796" s="22" t="s">
        <v>1441</v>
      </c>
      <c r="B796" s="26">
        <v>41377</v>
      </c>
      <c r="C796" s="27">
        <v>0</v>
      </c>
      <c r="D796" s="25" t="str">
        <f t="shared" si="24"/>
        <v>201315</v>
      </c>
      <c r="E796" s="22" t="str">
        <f t="shared" ca="1" si="25"/>
        <v>201304</v>
      </c>
      <c r="F796" s="22">
        <v>2013</v>
      </c>
    </row>
    <row r="797" spans="1:6" ht="15.75">
      <c r="A797" s="22" t="s">
        <v>1441</v>
      </c>
      <c r="B797" s="26">
        <v>41378</v>
      </c>
      <c r="C797" s="27">
        <v>0</v>
      </c>
      <c r="D797" s="25" t="str">
        <f t="shared" si="24"/>
        <v>201315</v>
      </c>
      <c r="E797" s="22" t="str">
        <f t="shared" ca="1" si="25"/>
        <v>201304</v>
      </c>
      <c r="F797" s="22">
        <v>2013</v>
      </c>
    </row>
    <row r="798" spans="1:6" ht="15.75">
      <c r="A798" s="22" t="s">
        <v>1441</v>
      </c>
      <c r="B798" s="26">
        <v>41379</v>
      </c>
      <c r="C798" s="27">
        <v>0</v>
      </c>
      <c r="D798" s="25" t="str">
        <f t="shared" si="24"/>
        <v>201316</v>
      </c>
      <c r="E798" s="22" t="str">
        <f t="shared" ca="1" si="25"/>
        <v>201304</v>
      </c>
      <c r="F798" s="22">
        <v>2013</v>
      </c>
    </row>
    <row r="799" spans="1:6" ht="15.75">
      <c r="A799" s="22" t="s">
        <v>1441</v>
      </c>
      <c r="B799" s="26">
        <v>41380</v>
      </c>
      <c r="C799" s="27">
        <v>0</v>
      </c>
      <c r="D799" s="25" t="str">
        <f t="shared" si="24"/>
        <v>201316</v>
      </c>
      <c r="E799" s="22" t="str">
        <f t="shared" ca="1" si="25"/>
        <v>201304</v>
      </c>
      <c r="F799" s="22">
        <v>2013</v>
      </c>
    </row>
    <row r="800" spans="1:6" ht="15.75">
      <c r="A800" s="22" t="s">
        <v>1441</v>
      </c>
      <c r="B800" s="26">
        <v>41381</v>
      </c>
      <c r="C800" s="27">
        <v>0</v>
      </c>
      <c r="D800" s="25" t="str">
        <f t="shared" si="24"/>
        <v>201316</v>
      </c>
      <c r="E800" s="22" t="str">
        <f t="shared" ca="1" si="25"/>
        <v>201304</v>
      </c>
      <c r="F800" s="22">
        <v>2013</v>
      </c>
    </row>
    <row r="801" spans="1:6" ht="15.75">
      <c r="A801" s="22" t="s">
        <v>1441</v>
      </c>
      <c r="B801" s="26">
        <v>41382</v>
      </c>
      <c r="C801" s="27">
        <v>0</v>
      </c>
      <c r="D801" s="25" t="str">
        <f t="shared" si="24"/>
        <v>201316</v>
      </c>
      <c r="E801" s="22" t="str">
        <f t="shared" ca="1" si="25"/>
        <v>201304</v>
      </c>
      <c r="F801" s="22">
        <v>2013</v>
      </c>
    </row>
    <row r="802" spans="1:6" ht="15.75">
      <c r="A802" s="22" t="s">
        <v>1441</v>
      </c>
      <c r="B802" s="26">
        <v>41383</v>
      </c>
      <c r="C802" s="27">
        <v>0</v>
      </c>
      <c r="D802" s="25" t="str">
        <f t="shared" si="24"/>
        <v>201316</v>
      </c>
      <c r="E802" s="22" t="str">
        <f t="shared" ca="1" si="25"/>
        <v>201304</v>
      </c>
      <c r="F802" s="22">
        <v>2013</v>
      </c>
    </row>
    <row r="803" spans="1:6" ht="15.75">
      <c r="A803" s="22" t="s">
        <v>1441</v>
      </c>
      <c r="B803" s="26">
        <v>41384</v>
      </c>
      <c r="C803" s="27">
        <v>0</v>
      </c>
      <c r="D803" s="25" t="str">
        <f t="shared" si="24"/>
        <v>201316</v>
      </c>
      <c r="E803" s="22" t="str">
        <f t="shared" ca="1" si="25"/>
        <v>201304</v>
      </c>
      <c r="F803" s="22">
        <v>2013</v>
      </c>
    </row>
    <row r="804" spans="1:6" ht="15.75">
      <c r="A804" s="22" t="s">
        <v>1441</v>
      </c>
      <c r="B804" s="26">
        <v>41385</v>
      </c>
      <c r="C804" s="27">
        <v>0</v>
      </c>
      <c r="D804" s="25" t="str">
        <f t="shared" si="24"/>
        <v>201316</v>
      </c>
      <c r="E804" s="22" t="str">
        <f t="shared" ca="1" si="25"/>
        <v>201304</v>
      </c>
      <c r="F804" s="22">
        <v>2013</v>
      </c>
    </row>
    <row r="805" spans="1:6" ht="15.75">
      <c r="A805" s="22" t="s">
        <v>1441</v>
      </c>
      <c r="B805" s="26">
        <v>41386</v>
      </c>
      <c r="C805" s="27">
        <v>0</v>
      </c>
      <c r="D805" s="25" t="str">
        <f t="shared" si="24"/>
        <v>201317</v>
      </c>
      <c r="E805" s="22" t="str">
        <f t="shared" ca="1" si="25"/>
        <v>201304</v>
      </c>
      <c r="F805" s="22">
        <v>2013</v>
      </c>
    </row>
    <row r="806" spans="1:6" ht="15.75">
      <c r="A806" s="22" t="s">
        <v>1441</v>
      </c>
      <c r="B806" s="26">
        <v>41387</v>
      </c>
      <c r="C806" s="27">
        <v>0</v>
      </c>
      <c r="D806" s="25" t="str">
        <f t="shared" si="24"/>
        <v>201317</v>
      </c>
      <c r="E806" s="22" t="str">
        <f t="shared" ca="1" si="25"/>
        <v>201304</v>
      </c>
      <c r="F806" s="22">
        <v>2013</v>
      </c>
    </row>
    <row r="807" spans="1:6" ht="15.75">
      <c r="A807" s="22" t="s">
        <v>1441</v>
      </c>
      <c r="B807" s="26">
        <v>41388</v>
      </c>
      <c r="C807" s="27">
        <v>0</v>
      </c>
      <c r="D807" s="25" t="str">
        <f t="shared" si="24"/>
        <v>201317</v>
      </c>
      <c r="E807" s="22" t="str">
        <f t="shared" ca="1" si="25"/>
        <v>201304</v>
      </c>
      <c r="F807" s="22">
        <v>2013</v>
      </c>
    </row>
    <row r="808" spans="1:6" ht="15.75">
      <c r="A808" s="22" t="s">
        <v>1441</v>
      </c>
      <c r="B808" s="26">
        <v>41389</v>
      </c>
      <c r="C808" s="27">
        <v>0</v>
      </c>
      <c r="D808" s="25" t="str">
        <f t="shared" si="24"/>
        <v>201317</v>
      </c>
      <c r="E808" s="22" t="str">
        <f t="shared" ca="1" si="25"/>
        <v>201304</v>
      </c>
      <c r="F808" s="22">
        <v>2013</v>
      </c>
    </row>
    <row r="809" spans="1:6" ht="15.75">
      <c r="A809" s="22" t="s">
        <v>1441</v>
      </c>
      <c r="B809" s="26">
        <v>41390</v>
      </c>
      <c r="C809" s="27">
        <v>0</v>
      </c>
      <c r="D809" s="25" t="str">
        <f t="shared" si="24"/>
        <v>201317</v>
      </c>
      <c r="E809" s="22" t="str">
        <f t="shared" ca="1" si="25"/>
        <v>201304</v>
      </c>
      <c r="F809" s="22">
        <v>2013</v>
      </c>
    </row>
    <row r="810" spans="1:6" ht="15.75">
      <c r="A810" s="22" t="s">
        <v>1441</v>
      </c>
      <c r="B810" s="26">
        <v>41391</v>
      </c>
      <c r="C810" s="27">
        <v>0</v>
      </c>
      <c r="D810" s="25" t="str">
        <f t="shared" si="24"/>
        <v>201317</v>
      </c>
      <c r="E810" s="22" t="str">
        <f t="shared" ca="1" si="25"/>
        <v>201304</v>
      </c>
      <c r="F810" s="22">
        <v>2013</v>
      </c>
    </row>
    <row r="811" spans="1:6" ht="15.75">
      <c r="A811" s="22" t="s">
        <v>1441</v>
      </c>
      <c r="B811" s="26">
        <v>41392</v>
      </c>
      <c r="C811" s="27">
        <v>0</v>
      </c>
      <c r="D811" s="25" t="str">
        <f t="shared" si="24"/>
        <v>201317</v>
      </c>
      <c r="E811" s="22" t="str">
        <f t="shared" ca="1" si="25"/>
        <v>201304</v>
      </c>
      <c r="F811" s="22">
        <v>2013</v>
      </c>
    </row>
    <row r="812" spans="1:6" ht="15.75">
      <c r="A812" s="22" t="s">
        <v>1441</v>
      </c>
      <c r="B812" s="26">
        <v>41393</v>
      </c>
      <c r="C812" s="27">
        <v>0</v>
      </c>
      <c r="D812" s="25" t="str">
        <f t="shared" si="24"/>
        <v>201318</v>
      </c>
      <c r="E812" s="22" t="str">
        <f t="shared" ca="1" si="25"/>
        <v>201304</v>
      </c>
      <c r="F812" s="22">
        <v>2013</v>
      </c>
    </row>
    <row r="813" spans="1:6" ht="15.75">
      <c r="A813" s="22" t="s">
        <v>1441</v>
      </c>
      <c r="B813" s="26">
        <v>41394</v>
      </c>
      <c r="C813" s="27">
        <v>0</v>
      </c>
      <c r="D813" s="25" t="str">
        <f t="shared" si="24"/>
        <v>201318</v>
      </c>
      <c r="E813" s="22" t="str">
        <f t="shared" ca="1" si="25"/>
        <v>201304</v>
      </c>
      <c r="F813" s="22">
        <v>2013</v>
      </c>
    </row>
    <row r="814" spans="1:6" ht="15.75">
      <c r="A814" s="22" t="s">
        <v>1441</v>
      </c>
      <c r="B814" s="26">
        <v>41395</v>
      </c>
      <c r="C814" s="27">
        <v>0</v>
      </c>
      <c r="D814" s="25" t="str">
        <f t="shared" si="24"/>
        <v>201318</v>
      </c>
      <c r="E814" s="22" t="str">
        <f t="shared" ca="1" si="25"/>
        <v>201305</v>
      </c>
      <c r="F814" s="22">
        <v>2013</v>
      </c>
    </row>
    <row r="815" spans="1:6" ht="15.75">
      <c r="A815" s="22" t="s">
        <v>1441</v>
      </c>
      <c r="B815" s="26">
        <v>41396</v>
      </c>
      <c r="C815" s="27">
        <v>0</v>
      </c>
      <c r="D815" s="25" t="str">
        <f t="shared" si="24"/>
        <v>201318</v>
      </c>
      <c r="E815" s="22" t="str">
        <f t="shared" ca="1" si="25"/>
        <v>201305</v>
      </c>
      <c r="F815" s="22">
        <v>2013</v>
      </c>
    </row>
    <row r="816" spans="1:6" ht="15.75">
      <c r="A816" s="22" t="s">
        <v>1441</v>
      </c>
      <c r="B816" s="26">
        <v>41397</v>
      </c>
      <c r="C816" s="27">
        <v>0</v>
      </c>
      <c r="D816" s="25" t="str">
        <f t="shared" si="24"/>
        <v>201318</v>
      </c>
      <c r="E816" s="22" t="str">
        <f t="shared" ca="1" si="25"/>
        <v>201305</v>
      </c>
      <c r="F816" s="22">
        <v>2013</v>
      </c>
    </row>
    <row r="817" spans="1:6" ht="15.75">
      <c r="A817" s="22" t="s">
        <v>1441</v>
      </c>
      <c r="B817" s="26">
        <v>41398</v>
      </c>
      <c r="C817" s="27">
        <v>0</v>
      </c>
      <c r="D817" s="25" t="str">
        <f t="shared" si="24"/>
        <v>201318</v>
      </c>
      <c r="E817" s="22" t="str">
        <f t="shared" ca="1" si="25"/>
        <v>201305</v>
      </c>
      <c r="F817" s="22">
        <v>2013</v>
      </c>
    </row>
    <row r="818" spans="1:6" ht="15.75">
      <c r="A818" s="22" t="s">
        <v>1441</v>
      </c>
      <c r="B818" s="26">
        <v>41399</v>
      </c>
      <c r="C818" s="27">
        <v>0</v>
      </c>
      <c r="D818" s="25" t="str">
        <f t="shared" si="24"/>
        <v>201318</v>
      </c>
      <c r="E818" s="22" t="str">
        <f t="shared" ca="1" si="25"/>
        <v>201305</v>
      </c>
      <c r="F818" s="22">
        <v>2013</v>
      </c>
    </row>
    <row r="819" spans="1:6" ht="15.75">
      <c r="A819" s="22" t="s">
        <v>1441</v>
      </c>
      <c r="B819" s="26">
        <v>41400</v>
      </c>
      <c r="C819" s="27">
        <v>0</v>
      </c>
      <c r="D819" s="25" t="str">
        <f t="shared" si="24"/>
        <v>201319</v>
      </c>
      <c r="E819" s="22" t="str">
        <f t="shared" ca="1" si="25"/>
        <v>201305</v>
      </c>
      <c r="F819" s="22">
        <v>2013</v>
      </c>
    </row>
    <row r="820" spans="1:6" ht="15.75">
      <c r="A820" s="22" t="s">
        <v>1441</v>
      </c>
      <c r="B820" s="26">
        <v>41401</v>
      </c>
      <c r="C820" s="27">
        <v>0</v>
      </c>
      <c r="D820" s="25" t="str">
        <f t="shared" si="24"/>
        <v>201319</v>
      </c>
      <c r="E820" s="22" t="str">
        <f t="shared" ca="1" si="25"/>
        <v>201305</v>
      </c>
      <c r="F820" s="22">
        <v>2013</v>
      </c>
    </row>
    <row r="821" spans="1:6" ht="15.75">
      <c r="A821" s="22" t="s">
        <v>1441</v>
      </c>
      <c r="B821" s="26">
        <v>41402</v>
      </c>
      <c r="C821" s="27">
        <v>0</v>
      </c>
      <c r="D821" s="25" t="str">
        <f t="shared" si="24"/>
        <v>201319</v>
      </c>
      <c r="E821" s="22" t="str">
        <f t="shared" ca="1" si="25"/>
        <v>201305</v>
      </c>
      <c r="F821" s="22">
        <v>2013</v>
      </c>
    </row>
    <row r="822" spans="1:6" ht="15.75">
      <c r="A822" s="22" t="s">
        <v>1441</v>
      </c>
      <c r="B822" s="26">
        <v>41403</v>
      </c>
      <c r="C822" s="27">
        <v>0</v>
      </c>
      <c r="D822" s="25" t="str">
        <f t="shared" si="24"/>
        <v>201319</v>
      </c>
      <c r="E822" s="22" t="str">
        <f t="shared" ca="1" si="25"/>
        <v>201305</v>
      </c>
      <c r="F822" s="22">
        <v>2013</v>
      </c>
    </row>
    <row r="823" spans="1:6" ht="15.75">
      <c r="A823" s="22" t="s">
        <v>1441</v>
      </c>
      <c r="B823" s="26">
        <v>41404</v>
      </c>
      <c r="C823" s="27">
        <v>0</v>
      </c>
      <c r="D823" s="25" t="str">
        <f t="shared" si="24"/>
        <v>201319</v>
      </c>
      <c r="E823" s="22" t="str">
        <f t="shared" ca="1" si="25"/>
        <v>201305</v>
      </c>
      <c r="F823" s="22">
        <v>2013</v>
      </c>
    </row>
    <row r="824" spans="1:6" ht="15.75">
      <c r="A824" s="22" t="s">
        <v>1441</v>
      </c>
      <c r="B824" s="26">
        <v>41405</v>
      </c>
      <c r="C824" s="27">
        <v>0</v>
      </c>
      <c r="D824" s="25" t="str">
        <f t="shared" si="24"/>
        <v>201319</v>
      </c>
      <c r="E824" s="22" t="str">
        <f t="shared" ca="1" si="25"/>
        <v>201305</v>
      </c>
      <c r="F824" s="22">
        <v>2013</v>
      </c>
    </row>
    <row r="825" spans="1:6" ht="15.75">
      <c r="A825" s="22" t="s">
        <v>1441</v>
      </c>
      <c r="B825" s="26">
        <v>41406</v>
      </c>
      <c r="C825" s="27">
        <v>0</v>
      </c>
      <c r="D825" s="25" t="str">
        <f t="shared" si="24"/>
        <v>201319</v>
      </c>
      <c r="E825" s="22" t="str">
        <f t="shared" ca="1" si="25"/>
        <v>201305</v>
      </c>
      <c r="F825" s="22">
        <v>2013</v>
      </c>
    </row>
    <row r="826" spans="1:6" ht="15.75">
      <c r="A826" s="22" t="s">
        <v>1441</v>
      </c>
      <c r="B826" s="26">
        <v>41407</v>
      </c>
      <c r="C826" s="27">
        <v>0</v>
      </c>
      <c r="D826" s="25" t="str">
        <f t="shared" si="24"/>
        <v>201320</v>
      </c>
      <c r="E826" s="22" t="str">
        <f t="shared" ca="1" si="25"/>
        <v>201305</v>
      </c>
      <c r="F826" s="22">
        <v>2013</v>
      </c>
    </row>
    <row r="827" spans="1:6" ht="15.75">
      <c r="A827" s="22" t="s">
        <v>1441</v>
      </c>
      <c r="B827" s="26">
        <v>41408</v>
      </c>
      <c r="C827" s="27">
        <v>0</v>
      </c>
      <c r="D827" s="25" t="str">
        <f t="shared" si="24"/>
        <v>201320</v>
      </c>
      <c r="E827" s="22" t="str">
        <f t="shared" ca="1" si="25"/>
        <v>201305</v>
      </c>
      <c r="F827" s="22">
        <v>2013</v>
      </c>
    </row>
    <row r="828" spans="1:6" ht="15.75">
      <c r="A828" s="22" t="s">
        <v>1441</v>
      </c>
      <c r="B828" s="26">
        <v>41409</v>
      </c>
      <c r="C828" s="27">
        <v>0</v>
      </c>
      <c r="D828" s="25" t="str">
        <f t="shared" si="24"/>
        <v>201320</v>
      </c>
      <c r="E828" s="22" t="str">
        <f t="shared" ca="1" si="25"/>
        <v>201305</v>
      </c>
      <c r="F828" s="22">
        <v>2013</v>
      </c>
    </row>
    <row r="829" spans="1:6" ht="15.75">
      <c r="A829" s="22" t="s">
        <v>1441</v>
      </c>
      <c r="B829" s="26">
        <v>41410</v>
      </c>
      <c r="C829" s="27">
        <v>0</v>
      </c>
      <c r="D829" s="25" t="str">
        <f t="shared" si="24"/>
        <v>201320</v>
      </c>
      <c r="E829" s="22" t="str">
        <f t="shared" ca="1" si="25"/>
        <v>201305</v>
      </c>
      <c r="F829" s="22">
        <v>2013</v>
      </c>
    </row>
    <row r="830" spans="1:6" ht="15.75">
      <c r="A830" s="22" t="s">
        <v>1441</v>
      </c>
      <c r="B830" s="26">
        <v>41411</v>
      </c>
      <c r="C830" s="27">
        <v>0</v>
      </c>
      <c r="D830" s="25" t="str">
        <f t="shared" si="24"/>
        <v>201320</v>
      </c>
      <c r="E830" s="22" t="str">
        <f t="shared" ca="1" si="25"/>
        <v>201305</v>
      </c>
      <c r="F830" s="22">
        <v>2013</v>
      </c>
    </row>
    <row r="831" spans="1:6" ht="15.75">
      <c r="A831" s="22" t="s">
        <v>1441</v>
      </c>
      <c r="B831" s="26">
        <v>41412</v>
      </c>
      <c r="C831" s="27">
        <v>0</v>
      </c>
      <c r="D831" s="25" t="str">
        <f t="shared" si="24"/>
        <v>201320</v>
      </c>
      <c r="E831" s="22" t="str">
        <f t="shared" ca="1" si="25"/>
        <v>201305</v>
      </c>
      <c r="F831" s="22">
        <v>2013</v>
      </c>
    </row>
    <row r="832" spans="1:6" ht="15.75">
      <c r="A832" s="22" t="s">
        <v>1441</v>
      </c>
      <c r="B832" s="26">
        <v>41413</v>
      </c>
      <c r="C832" s="27">
        <v>0</v>
      </c>
      <c r="D832" s="25" t="str">
        <f t="shared" si="24"/>
        <v>201320</v>
      </c>
      <c r="E832" s="22" t="str">
        <f t="shared" ca="1" si="25"/>
        <v>201305</v>
      </c>
      <c r="F832" s="22">
        <v>2013</v>
      </c>
    </row>
    <row r="833" spans="1:6" ht="15.75">
      <c r="A833" s="22" t="s">
        <v>1441</v>
      </c>
      <c r="B833" s="26">
        <v>41414</v>
      </c>
      <c r="C833" s="27">
        <v>1.0900000000000001</v>
      </c>
      <c r="D833" s="25" t="str">
        <f t="shared" si="24"/>
        <v>201321</v>
      </c>
      <c r="E833" s="22" t="str">
        <f t="shared" ca="1" si="25"/>
        <v>201305</v>
      </c>
      <c r="F833" s="22">
        <v>2013</v>
      </c>
    </row>
    <row r="834" spans="1:6" ht="15.75">
      <c r="A834" s="22" t="s">
        <v>1441</v>
      </c>
      <c r="B834" s="26">
        <v>41415</v>
      </c>
      <c r="C834" s="27">
        <v>0</v>
      </c>
      <c r="D834" s="25" t="str">
        <f t="shared" si="24"/>
        <v>201321</v>
      </c>
      <c r="E834" s="22" t="str">
        <f t="shared" ca="1" si="25"/>
        <v>201305</v>
      </c>
      <c r="F834" s="22">
        <v>2013</v>
      </c>
    </row>
    <row r="835" spans="1:6" ht="15.75">
      <c r="A835" s="22" t="s">
        <v>1441</v>
      </c>
      <c r="B835" s="26">
        <v>41416</v>
      </c>
      <c r="C835" s="27">
        <v>1.52</v>
      </c>
      <c r="D835" s="25" t="str">
        <f t="shared" ref="D835:D898" si="26">CONCATENATE(YEAR(B835-WEEKDAY(B835,3)+3),TEXT(WEEKNUM(B835,21),"00"))</f>
        <v>201321</v>
      </c>
      <c r="E835" s="22" t="str">
        <f t="shared" ref="E835:E898" ca="1" si="27">IF(
  AND(
    YEAR(B835)=YEAR(TODAY())-1,
    MONTH(B835)=MONTH(TODAY()),
    DAY(B835)&gt;DAY($H$2)
  ),
  0,
  CONCATENATE(YEAR(B835),TEXT(MONTH(B835),"00"))
)</f>
        <v>201305</v>
      </c>
      <c r="F835" s="22">
        <v>2013</v>
      </c>
    </row>
    <row r="836" spans="1:6" ht="15.75">
      <c r="A836" s="22" t="s">
        <v>1441</v>
      </c>
      <c r="B836" s="26">
        <v>41417</v>
      </c>
      <c r="C836" s="27">
        <v>2.87</v>
      </c>
      <c r="D836" s="25" t="str">
        <f t="shared" si="26"/>
        <v>201321</v>
      </c>
      <c r="E836" s="22" t="str">
        <f t="shared" ca="1" si="27"/>
        <v>201305</v>
      </c>
      <c r="F836" s="22">
        <v>2013</v>
      </c>
    </row>
    <row r="837" spans="1:6" ht="15.75">
      <c r="A837" s="22" t="s">
        <v>1441</v>
      </c>
      <c r="B837" s="26">
        <v>41418</v>
      </c>
      <c r="C837" s="27">
        <v>2.38</v>
      </c>
      <c r="D837" s="25" t="str">
        <f t="shared" si="26"/>
        <v>201321</v>
      </c>
      <c r="E837" s="22" t="str">
        <f t="shared" ca="1" si="27"/>
        <v>201305</v>
      </c>
      <c r="F837" s="22">
        <v>2013</v>
      </c>
    </row>
    <row r="838" spans="1:6" ht="15.75">
      <c r="A838" s="22" t="s">
        <v>1441</v>
      </c>
      <c r="B838" s="26">
        <v>41419</v>
      </c>
      <c r="C838" s="27">
        <v>2.35</v>
      </c>
      <c r="D838" s="25" t="str">
        <f t="shared" si="26"/>
        <v>201321</v>
      </c>
      <c r="E838" s="22" t="str">
        <f t="shared" ca="1" si="27"/>
        <v>201305</v>
      </c>
      <c r="F838" s="22">
        <v>2013</v>
      </c>
    </row>
    <row r="839" spans="1:6" ht="15.75">
      <c r="A839" s="22" t="s">
        <v>1441</v>
      </c>
      <c r="B839" s="26">
        <v>41420</v>
      </c>
      <c r="C839" s="27">
        <v>0</v>
      </c>
      <c r="D839" s="25" t="str">
        <f t="shared" si="26"/>
        <v>201321</v>
      </c>
      <c r="E839" s="22" t="str">
        <f t="shared" ca="1" si="27"/>
        <v>201305</v>
      </c>
      <c r="F839" s="22">
        <v>2013</v>
      </c>
    </row>
    <row r="840" spans="1:6" ht="15.75">
      <c r="A840" s="22" t="s">
        <v>1441</v>
      </c>
      <c r="B840" s="26">
        <v>41421</v>
      </c>
      <c r="C840" s="27">
        <v>0</v>
      </c>
      <c r="D840" s="25" t="str">
        <f t="shared" si="26"/>
        <v>201322</v>
      </c>
      <c r="E840" s="22" t="str">
        <f t="shared" ca="1" si="27"/>
        <v>201305</v>
      </c>
      <c r="F840" s="22">
        <v>2013</v>
      </c>
    </row>
    <row r="841" spans="1:6" ht="15.75">
      <c r="A841" s="22" t="s">
        <v>1441</v>
      </c>
      <c r="B841" s="26">
        <v>41422</v>
      </c>
      <c r="C841" s="27">
        <v>0</v>
      </c>
      <c r="D841" s="25" t="str">
        <f t="shared" si="26"/>
        <v>201322</v>
      </c>
      <c r="E841" s="22" t="str">
        <f t="shared" ca="1" si="27"/>
        <v>201305</v>
      </c>
      <c r="F841" s="22">
        <v>2013</v>
      </c>
    </row>
    <row r="842" spans="1:6" ht="15.75">
      <c r="A842" s="22" t="s">
        <v>1441</v>
      </c>
      <c r="B842" s="26">
        <v>41423</v>
      </c>
      <c r="C842" s="27">
        <v>1.54</v>
      </c>
      <c r="D842" s="25" t="str">
        <f t="shared" si="26"/>
        <v>201322</v>
      </c>
      <c r="E842" s="22" t="str">
        <f t="shared" ca="1" si="27"/>
        <v>201305</v>
      </c>
      <c r="F842" s="22">
        <v>2013</v>
      </c>
    </row>
    <row r="843" spans="1:6" ht="15.75">
      <c r="A843" s="22" t="s">
        <v>1441</v>
      </c>
      <c r="B843" s="26">
        <v>41424</v>
      </c>
      <c r="C843" s="27">
        <v>5.46</v>
      </c>
      <c r="D843" s="25" t="str">
        <f t="shared" si="26"/>
        <v>201322</v>
      </c>
      <c r="E843" s="22" t="str">
        <f t="shared" ca="1" si="27"/>
        <v>201305</v>
      </c>
      <c r="F843" s="22">
        <v>2013</v>
      </c>
    </row>
    <row r="844" spans="1:6" ht="15.75">
      <c r="A844" s="22" t="s">
        <v>1441</v>
      </c>
      <c r="B844" s="26">
        <v>41425</v>
      </c>
      <c r="C844" s="27">
        <v>0</v>
      </c>
      <c r="D844" s="25" t="str">
        <f t="shared" si="26"/>
        <v>201322</v>
      </c>
      <c r="E844" s="22" t="str">
        <f t="shared" ca="1" si="27"/>
        <v>201305</v>
      </c>
      <c r="F844" s="22">
        <v>2013</v>
      </c>
    </row>
    <row r="845" spans="1:6" ht="15.75">
      <c r="A845" s="22" t="s">
        <v>1441</v>
      </c>
      <c r="B845" s="26">
        <v>41426</v>
      </c>
      <c r="C845" s="27">
        <v>0</v>
      </c>
      <c r="D845" s="25" t="str">
        <f t="shared" si="26"/>
        <v>201322</v>
      </c>
      <c r="E845" s="22" t="str">
        <f t="shared" ca="1" si="27"/>
        <v>201306</v>
      </c>
      <c r="F845" s="22">
        <v>2013</v>
      </c>
    </row>
    <row r="846" spans="1:6" ht="15.75">
      <c r="A846" s="22" t="s">
        <v>1441</v>
      </c>
      <c r="B846" s="26">
        <v>41427</v>
      </c>
      <c r="C846" s="27">
        <v>0</v>
      </c>
      <c r="D846" s="25" t="str">
        <f t="shared" si="26"/>
        <v>201322</v>
      </c>
      <c r="E846" s="22" t="str">
        <f t="shared" ca="1" si="27"/>
        <v>201306</v>
      </c>
      <c r="F846" s="22">
        <v>2013</v>
      </c>
    </row>
    <row r="847" spans="1:6" ht="15.75">
      <c r="A847" s="22" t="s">
        <v>1441</v>
      </c>
      <c r="B847" s="26">
        <v>41428</v>
      </c>
      <c r="C847" s="27">
        <v>0</v>
      </c>
      <c r="D847" s="25" t="str">
        <f t="shared" si="26"/>
        <v>201323</v>
      </c>
      <c r="E847" s="22" t="str">
        <f t="shared" ca="1" si="27"/>
        <v>201306</v>
      </c>
      <c r="F847" s="22">
        <v>2013</v>
      </c>
    </row>
    <row r="848" spans="1:6" ht="15.75">
      <c r="A848" s="22" t="s">
        <v>1441</v>
      </c>
      <c r="B848" s="26">
        <v>41429</v>
      </c>
      <c r="C848" s="27">
        <v>0</v>
      </c>
      <c r="D848" s="25" t="str">
        <f t="shared" si="26"/>
        <v>201323</v>
      </c>
      <c r="E848" s="22" t="str">
        <f t="shared" ca="1" si="27"/>
        <v>201306</v>
      </c>
      <c r="F848" s="22">
        <v>2013</v>
      </c>
    </row>
    <row r="849" spans="1:6" ht="15.75">
      <c r="A849" s="22" t="s">
        <v>1441</v>
      </c>
      <c r="B849" s="26">
        <v>41430</v>
      </c>
      <c r="C849" s="27">
        <v>0</v>
      </c>
      <c r="D849" s="25" t="str">
        <f t="shared" si="26"/>
        <v>201323</v>
      </c>
      <c r="E849" s="22" t="str">
        <f t="shared" ca="1" si="27"/>
        <v>201306</v>
      </c>
      <c r="F849" s="22">
        <v>2013</v>
      </c>
    </row>
    <row r="850" spans="1:6" ht="15.75">
      <c r="A850" s="22" t="s">
        <v>1441</v>
      </c>
      <c r="B850" s="26">
        <v>41431</v>
      </c>
      <c r="C850" s="27">
        <v>0</v>
      </c>
      <c r="D850" s="25" t="str">
        <f t="shared" si="26"/>
        <v>201323</v>
      </c>
      <c r="E850" s="22" t="str">
        <f t="shared" ca="1" si="27"/>
        <v>201306</v>
      </c>
      <c r="F850" s="22">
        <v>2013</v>
      </c>
    </row>
    <row r="851" spans="1:6" ht="15.75">
      <c r="A851" s="22" t="s">
        <v>1441</v>
      </c>
      <c r="B851" s="26">
        <v>41432</v>
      </c>
      <c r="C851" s="27">
        <v>0</v>
      </c>
      <c r="D851" s="25" t="str">
        <f t="shared" si="26"/>
        <v>201323</v>
      </c>
      <c r="E851" s="22" t="str">
        <f t="shared" ca="1" si="27"/>
        <v>201306</v>
      </c>
      <c r="F851" s="22">
        <v>2013</v>
      </c>
    </row>
    <row r="852" spans="1:6" ht="15.75">
      <c r="A852" s="22" t="s">
        <v>1441</v>
      </c>
      <c r="B852" s="26">
        <v>41433</v>
      </c>
      <c r="C852" s="27">
        <v>0</v>
      </c>
      <c r="D852" s="25" t="str">
        <f t="shared" si="26"/>
        <v>201323</v>
      </c>
      <c r="E852" s="22" t="str">
        <f t="shared" ca="1" si="27"/>
        <v>201306</v>
      </c>
      <c r="F852" s="22">
        <v>2013</v>
      </c>
    </row>
    <row r="853" spans="1:6" ht="15.75">
      <c r="A853" s="22" t="s">
        <v>1441</v>
      </c>
      <c r="B853" s="26">
        <v>41434</v>
      </c>
      <c r="C853" s="27">
        <v>0</v>
      </c>
      <c r="D853" s="25" t="str">
        <f t="shared" si="26"/>
        <v>201323</v>
      </c>
      <c r="E853" s="22" t="str">
        <f t="shared" ca="1" si="27"/>
        <v>201306</v>
      </c>
      <c r="F853" s="22">
        <v>2013</v>
      </c>
    </row>
    <row r="854" spans="1:6" ht="15.75">
      <c r="A854" s="22" t="s">
        <v>1441</v>
      </c>
      <c r="B854" s="26">
        <v>41435</v>
      </c>
      <c r="C854" s="27">
        <v>0</v>
      </c>
      <c r="D854" s="25" t="str">
        <f t="shared" si="26"/>
        <v>201324</v>
      </c>
      <c r="E854" s="22" t="str">
        <f t="shared" ca="1" si="27"/>
        <v>201306</v>
      </c>
      <c r="F854" s="22">
        <v>2013</v>
      </c>
    </row>
    <row r="855" spans="1:6" ht="15.75">
      <c r="A855" s="22" t="s">
        <v>1441</v>
      </c>
      <c r="B855" s="26">
        <v>41436</v>
      </c>
      <c r="C855" s="27">
        <v>0</v>
      </c>
      <c r="D855" s="25" t="str">
        <f t="shared" si="26"/>
        <v>201324</v>
      </c>
      <c r="E855" s="22" t="str">
        <f t="shared" ca="1" si="27"/>
        <v>201306</v>
      </c>
      <c r="F855" s="22">
        <v>2013</v>
      </c>
    </row>
    <row r="856" spans="1:6" ht="15.75">
      <c r="A856" s="22" t="s">
        <v>1441</v>
      </c>
      <c r="B856" s="26">
        <v>41437</v>
      </c>
      <c r="C856" s="27">
        <v>0</v>
      </c>
      <c r="D856" s="25" t="str">
        <f t="shared" si="26"/>
        <v>201324</v>
      </c>
      <c r="E856" s="22" t="str">
        <f t="shared" ca="1" si="27"/>
        <v>201306</v>
      </c>
      <c r="F856" s="22">
        <v>2013</v>
      </c>
    </row>
    <row r="857" spans="1:6" ht="15.75">
      <c r="A857" s="22" t="s">
        <v>1441</v>
      </c>
      <c r="B857" s="26">
        <v>41438</v>
      </c>
      <c r="C857" s="27">
        <v>0</v>
      </c>
      <c r="D857" s="25" t="str">
        <f t="shared" si="26"/>
        <v>201324</v>
      </c>
      <c r="E857" s="22" t="str">
        <f t="shared" ca="1" si="27"/>
        <v>201306</v>
      </c>
      <c r="F857" s="22">
        <v>2013</v>
      </c>
    </row>
    <row r="858" spans="1:6" ht="15.75">
      <c r="A858" s="22" t="s">
        <v>1441</v>
      </c>
      <c r="B858" s="26">
        <v>41439</v>
      </c>
      <c r="C858" s="27">
        <v>0</v>
      </c>
      <c r="D858" s="25" t="str">
        <f t="shared" si="26"/>
        <v>201324</v>
      </c>
      <c r="E858" s="22" t="str">
        <f t="shared" ca="1" si="27"/>
        <v>201306</v>
      </c>
      <c r="F858" s="22">
        <v>2013</v>
      </c>
    </row>
    <row r="859" spans="1:6" ht="15.75">
      <c r="A859" s="22" t="s">
        <v>1441</v>
      </c>
      <c r="B859" s="26">
        <v>41440</v>
      </c>
      <c r="C859" s="27">
        <v>0</v>
      </c>
      <c r="D859" s="25" t="str">
        <f t="shared" si="26"/>
        <v>201324</v>
      </c>
      <c r="E859" s="22" t="str">
        <f t="shared" ca="1" si="27"/>
        <v>201306</v>
      </c>
      <c r="F859" s="22">
        <v>2013</v>
      </c>
    </row>
    <row r="860" spans="1:6" ht="15.75">
      <c r="A860" s="22" t="s">
        <v>1441</v>
      </c>
      <c r="B860" s="26">
        <v>41441</v>
      </c>
      <c r="C860" s="27">
        <v>0</v>
      </c>
      <c r="D860" s="25" t="str">
        <f t="shared" si="26"/>
        <v>201324</v>
      </c>
      <c r="E860" s="22" t="str">
        <f t="shared" ca="1" si="27"/>
        <v>201306</v>
      </c>
      <c r="F860" s="22">
        <v>2013</v>
      </c>
    </row>
    <row r="861" spans="1:6" ht="15.75">
      <c r="A861" s="22" t="s">
        <v>1441</v>
      </c>
      <c r="B861" s="26">
        <v>41442</v>
      </c>
      <c r="C861" s="27">
        <v>0</v>
      </c>
      <c r="D861" s="25" t="str">
        <f t="shared" si="26"/>
        <v>201325</v>
      </c>
      <c r="E861" s="22" t="str">
        <f t="shared" ca="1" si="27"/>
        <v>201306</v>
      </c>
      <c r="F861" s="22">
        <v>2013</v>
      </c>
    </row>
    <row r="862" spans="1:6" ht="15.75">
      <c r="A862" s="22" t="s">
        <v>1441</v>
      </c>
      <c r="B862" s="26">
        <v>41443</v>
      </c>
      <c r="C862" s="27">
        <v>0</v>
      </c>
      <c r="D862" s="25" t="str">
        <f t="shared" si="26"/>
        <v>201325</v>
      </c>
      <c r="E862" s="22" t="str">
        <f t="shared" ca="1" si="27"/>
        <v>201306</v>
      </c>
      <c r="F862" s="22">
        <v>2013</v>
      </c>
    </row>
    <row r="863" spans="1:6" ht="15.75">
      <c r="A863" s="22" t="s">
        <v>1441</v>
      </c>
      <c r="B863" s="26">
        <v>41444</v>
      </c>
      <c r="C863" s="27">
        <v>0</v>
      </c>
      <c r="D863" s="25" t="str">
        <f t="shared" si="26"/>
        <v>201325</v>
      </c>
      <c r="E863" s="22" t="str">
        <f t="shared" ca="1" si="27"/>
        <v>201306</v>
      </c>
      <c r="F863" s="22">
        <v>2013</v>
      </c>
    </row>
    <row r="864" spans="1:6" ht="15.75">
      <c r="A864" s="22" t="s">
        <v>1441</v>
      </c>
      <c r="B864" s="26">
        <v>41445</v>
      </c>
      <c r="C864" s="27">
        <v>0</v>
      </c>
      <c r="D864" s="25" t="str">
        <f t="shared" si="26"/>
        <v>201325</v>
      </c>
      <c r="E864" s="22" t="str">
        <f t="shared" ca="1" si="27"/>
        <v>201306</v>
      </c>
      <c r="F864" s="22">
        <v>2013</v>
      </c>
    </row>
    <row r="865" spans="1:6" ht="15.75">
      <c r="A865" s="22" t="s">
        <v>1441</v>
      </c>
      <c r="B865" s="26">
        <v>41446</v>
      </c>
      <c r="C865" s="27">
        <v>0</v>
      </c>
      <c r="D865" s="25" t="str">
        <f t="shared" si="26"/>
        <v>201325</v>
      </c>
      <c r="E865" s="22" t="str">
        <f t="shared" ca="1" si="27"/>
        <v>201306</v>
      </c>
      <c r="F865" s="22">
        <v>2013</v>
      </c>
    </row>
    <row r="866" spans="1:6" ht="15.75">
      <c r="A866" s="22" t="s">
        <v>1441</v>
      </c>
      <c r="B866" s="26">
        <v>41447</v>
      </c>
      <c r="C866" s="27">
        <v>0</v>
      </c>
      <c r="D866" s="25" t="str">
        <f t="shared" si="26"/>
        <v>201325</v>
      </c>
      <c r="E866" s="22" t="str">
        <f t="shared" ca="1" si="27"/>
        <v>201306</v>
      </c>
      <c r="F866" s="22">
        <v>2013</v>
      </c>
    </row>
    <row r="867" spans="1:6" ht="15.75">
      <c r="A867" s="22" t="s">
        <v>1441</v>
      </c>
      <c r="B867" s="26">
        <v>41448</v>
      </c>
      <c r="C867" s="27">
        <v>0</v>
      </c>
      <c r="D867" s="25" t="str">
        <f t="shared" si="26"/>
        <v>201325</v>
      </c>
      <c r="E867" s="22" t="str">
        <f t="shared" ca="1" si="27"/>
        <v>201306</v>
      </c>
      <c r="F867" s="22">
        <v>2013</v>
      </c>
    </row>
    <row r="868" spans="1:6" ht="15.75">
      <c r="A868" s="22" t="s">
        <v>1441</v>
      </c>
      <c r="B868" s="26">
        <v>41449</v>
      </c>
      <c r="C868" s="27">
        <v>0</v>
      </c>
      <c r="D868" s="25" t="str">
        <f t="shared" si="26"/>
        <v>201326</v>
      </c>
      <c r="E868" s="22" t="str">
        <f t="shared" ca="1" si="27"/>
        <v>201306</v>
      </c>
      <c r="F868" s="22">
        <v>2013</v>
      </c>
    </row>
    <row r="869" spans="1:6" ht="15.75">
      <c r="A869" s="22" t="s">
        <v>1441</v>
      </c>
      <c r="B869" s="26">
        <v>41450</v>
      </c>
      <c r="C869" s="27">
        <v>0</v>
      </c>
      <c r="D869" s="25" t="str">
        <f t="shared" si="26"/>
        <v>201326</v>
      </c>
      <c r="E869" s="22" t="str">
        <f t="shared" ca="1" si="27"/>
        <v>201306</v>
      </c>
      <c r="F869" s="22">
        <v>2013</v>
      </c>
    </row>
    <row r="870" spans="1:6" ht="15.75">
      <c r="A870" s="22" t="s">
        <v>1441</v>
      </c>
      <c r="B870" s="26">
        <v>41451</v>
      </c>
      <c r="C870" s="27">
        <v>0</v>
      </c>
      <c r="D870" s="25" t="str">
        <f t="shared" si="26"/>
        <v>201326</v>
      </c>
      <c r="E870" s="22" t="str">
        <f t="shared" ca="1" si="27"/>
        <v>201306</v>
      </c>
      <c r="F870" s="22">
        <v>2013</v>
      </c>
    </row>
    <row r="871" spans="1:6" ht="15.75">
      <c r="A871" s="22" t="s">
        <v>1441</v>
      </c>
      <c r="B871" s="26">
        <v>41452</v>
      </c>
      <c r="C871" s="27">
        <v>0</v>
      </c>
      <c r="D871" s="25" t="str">
        <f t="shared" si="26"/>
        <v>201326</v>
      </c>
      <c r="E871" s="22" t="str">
        <f t="shared" ca="1" si="27"/>
        <v>201306</v>
      </c>
      <c r="F871" s="22">
        <v>2013</v>
      </c>
    </row>
    <row r="872" spans="1:6" ht="15.75">
      <c r="A872" s="22" t="s">
        <v>1441</v>
      </c>
      <c r="B872" s="26">
        <v>41453</v>
      </c>
      <c r="C872" s="27">
        <v>0</v>
      </c>
      <c r="D872" s="25" t="str">
        <f t="shared" si="26"/>
        <v>201326</v>
      </c>
      <c r="E872" s="22" t="str">
        <f t="shared" ca="1" si="27"/>
        <v>201306</v>
      </c>
      <c r="F872" s="22">
        <v>2013</v>
      </c>
    </row>
    <row r="873" spans="1:6" ht="15.75">
      <c r="A873" s="22" t="s">
        <v>1441</v>
      </c>
      <c r="B873" s="26">
        <v>41454</v>
      </c>
      <c r="C873" s="27">
        <v>0</v>
      </c>
      <c r="D873" s="25" t="str">
        <f t="shared" si="26"/>
        <v>201326</v>
      </c>
      <c r="E873" s="22" t="str">
        <f t="shared" ca="1" si="27"/>
        <v>201306</v>
      </c>
      <c r="F873" s="22">
        <v>2013</v>
      </c>
    </row>
    <row r="874" spans="1:6" ht="15.75">
      <c r="A874" s="22" t="s">
        <v>1441</v>
      </c>
      <c r="B874" s="26">
        <v>41455</v>
      </c>
      <c r="C874" s="27">
        <v>0</v>
      </c>
      <c r="D874" s="25" t="str">
        <f t="shared" si="26"/>
        <v>201326</v>
      </c>
      <c r="E874" s="22" t="str">
        <f t="shared" ca="1" si="27"/>
        <v>201306</v>
      </c>
      <c r="F874" s="22">
        <v>2013</v>
      </c>
    </row>
    <row r="875" spans="1:6" ht="15.75">
      <c r="A875" s="22" t="s">
        <v>1441</v>
      </c>
      <c r="B875" s="26">
        <v>41456</v>
      </c>
      <c r="C875" s="27">
        <v>0</v>
      </c>
      <c r="D875" s="25" t="str">
        <f t="shared" si="26"/>
        <v>201327</v>
      </c>
      <c r="E875" s="22" t="str">
        <f t="shared" ca="1" si="27"/>
        <v>201307</v>
      </c>
      <c r="F875" s="22">
        <v>2013</v>
      </c>
    </row>
    <row r="876" spans="1:6" ht="15.75">
      <c r="A876" s="22" t="s">
        <v>1441</v>
      </c>
      <c r="B876" s="26">
        <v>41457</v>
      </c>
      <c r="C876" s="27">
        <v>0</v>
      </c>
      <c r="D876" s="25" t="str">
        <f t="shared" si="26"/>
        <v>201327</v>
      </c>
      <c r="E876" s="22" t="str">
        <f t="shared" ca="1" si="27"/>
        <v>201307</v>
      </c>
      <c r="F876" s="22">
        <v>2013</v>
      </c>
    </row>
    <row r="877" spans="1:6" ht="15.75">
      <c r="A877" s="22" t="s">
        <v>1441</v>
      </c>
      <c r="B877" s="26">
        <v>41458</v>
      </c>
      <c r="C877" s="27">
        <v>0</v>
      </c>
      <c r="D877" s="25" t="str">
        <f t="shared" si="26"/>
        <v>201327</v>
      </c>
      <c r="E877" s="22" t="str">
        <f t="shared" ca="1" si="27"/>
        <v>201307</v>
      </c>
      <c r="F877" s="22">
        <v>2013</v>
      </c>
    </row>
    <row r="878" spans="1:6" ht="15.75">
      <c r="A878" s="22" t="s">
        <v>1441</v>
      </c>
      <c r="B878" s="26">
        <v>41459</v>
      </c>
      <c r="C878" s="27">
        <v>0</v>
      </c>
      <c r="D878" s="25" t="str">
        <f t="shared" si="26"/>
        <v>201327</v>
      </c>
      <c r="E878" s="22" t="str">
        <f t="shared" ca="1" si="27"/>
        <v>201307</v>
      </c>
      <c r="F878" s="22">
        <v>2013</v>
      </c>
    </row>
    <row r="879" spans="1:6" ht="15.75">
      <c r="A879" s="22" t="s">
        <v>1441</v>
      </c>
      <c r="B879" s="26">
        <v>41460</v>
      </c>
      <c r="C879" s="27">
        <v>0</v>
      </c>
      <c r="D879" s="25" t="str">
        <f t="shared" si="26"/>
        <v>201327</v>
      </c>
      <c r="E879" s="22" t="str">
        <f t="shared" ca="1" si="27"/>
        <v>201307</v>
      </c>
      <c r="F879" s="22">
        <v>2013</v>
      </c>
    </row>
    <row r="880" spans="1:6" ht="15.75">
      <c r="A880" s="22" t="s">
        <v>1441</v>
      </c>
      <c r="B880" s="26">
        <v>41461</v>
      </c>
      <c r="C880" s="27">
        <v>0</v>
      </c>
      <c r="D880" s="25" t="str">
        <f t="shared" si="26"/>
        <v>201327</v>
      </c>
      <c r="E880" s="22" t="str">
        <f t="shared" ca="1" si="27"/>
        <v>201307</v>
      </c>
      <c r="F880" s="22">
        <v>2013</v>
      </c>
    </row>
    <row r="881" spans="1:6" ht="15.75">
      <c r="A881" s="22" t="s">
        <v>1441</v>
      </c>
      <c r="B881" s="26">
        <v>41462</v>
      </c>
      <c r="C881" s="27">
        <v>0</v>
      </c>
      <c r="D881" s="25" t="str">
        <f t="shared" si="26"/>
        <v>201327</v>
      </c>
      <c r="E881" s="22" t="str">
        <f t="shared" ca="1" si="27"/>
        <v>201307</v>
      </c>
      <c r="F881" s="22">
        <v>2013</v>
      </c>
    </row>
    <row r="882" spans="1:6" ht="15.75">
      <c r="A882" s="22" t="s">
        <v>1441</v>
      </c>
      <c r="B882" s="26">
        <v>41463</v>
      </c>
      <c r="C882" s="27">
        <v>0</v>
      </c>
      <c r="D882" s="25" t="str">
        <f t="shared" si="26"/>
        <v>201328</v>
      </c>
      <c r="E882" s="22" t="str">
        <f t="shared" ca="1" si="27"/>
        <v>201307</v>
      </c>
      <c r="F882" s="22">
        <v>2013</v>
      </c>
    </row>
    <row r="883" spans="1:6" ht="15.75">
      <c r="A883" s="22" t="s">
        <v>1441</v>
      </c>
      <c r="B883" s="26">
        <v>41464</v>
      </c>
      <c r="C883" s="27">
        <v>0</v>
      </c>
      <c r="D883" s="25" t="str">
        <f t="shared" si="26"/>
        <v>201328</v>
      </c>
      <c r="E883" s="22" t="str">
        <f t="shared" ca="1" si="27"/>
        <v>201307</v>
      </c>
      <c r="F883" s="22">
        <v>2013</v>
      </c>
    </row>
    <row r="884" spans="1:6" ht="15.75">
      <c r="A884" s="22" t="s">
        <v>1441</v>
      </c>
      <c r="B884" s="26">
        <v>41465</v>
      </c>
      <c r="C884" s="27">
        <v>0</v>
      </c>
      <c r="D884" s="25" t="str">
        <f t="shared" si="26"/>
        <v>201328</v>
      </c>
      <c r="E884" s="22" t="str">
        <f t="shared" ca="1" si="27"/>
        <v>201307</v>
      </c>
      <c r="F884" s="22">
        <v>2013</v>
      </c>
    </row>
    <row r="885" spans="1:6" ht="15.75">
      <c r="A885" s="22" t="s">
        <v>1441</v>
      </c>
      <c r="B885" s="26">
        <v>41466</v>
      </c>
      <c r="C885" s="27">
        <v>0</v>
      </c>
      <c r="D885" s="25" t="str">
        <f t="shared" si="26"/>
        <v>201328</v>
      </c>
      <c r="E885" s="22" t="str">
        <f t="shared" ca="1" si="27"/>
        <v>201307</v>
      </c>
      <c r="F885" s="22">
        <v>2013</v>
      </c>
    </row>
    <row r="886" spans="1:6" ht="15.75">
      <c r="A886" s="22" t="s">
        <v>1441</v>
      </c>
      <c r="B886" s="26">
        <v>41467</v>
      </c>
      <c r="C886" s="27">
        <v>0</v>
      </c>
      <c r="D886" s="25" t="str">
        <f t="shared" si="26"/>
        <v>201328</v>
      </c>
      <c r="E886" s="22" t="str">
        <f t="shared" ca="1" si="27"/>
        <v>201307</v>
      </c>
      <c r="F886" s="22">
        <v>2013</v>
      </c>
    </row>
    <row r="887" spans="1:6" ht="15.75">
      <c r="A887" s="22" t="s">
        <v>1441</v>
      </c>
      <c r="B887" s="26">
        <v>41468</v>
      </c>
      <c r="C887" s="27">
        <v>0</v>
      </c>
      <c r="D887" s="25" t="str">
        <f t="shared" si="26"/>
        <v>201328</v>
      </c>
      <c r="E887" s="22" t="str">
        <f t="shared" ca="1" si="27"/>
        <v>201307</v>
      </c>
      <c r="F887" s="22">
        <v>2013</v>
      </c>
    </row>
    <row r="888" spans="1:6" ht="15.75">
      <c r="A888" s="22" t="s">
        <v>1441</v>
      </c>
      <c r="B888" s="26">
        <v>41469</v>
      </c>
      <c r="C888" s="27">
        <v>0</v>
      </c>
      <c r="D888" s="25" t="str">
        <f t="shared" si="26"/>
        <v>201328</v>
      </c>
      <c r="E888" s="22" t="str">
        <f t="shared" ca="1" si="27"/>
        <v>201307</v>
      </c>
      <c r="F888" s="22">
        <v>2013</v>
      </c>
    </row>
    <row r="889" spans="1:6" ht="15.75">
      <c r="A889" s="22" t="s">
        <v>1441</v>
      </c>
      <c r="B889" s="26">
        <v>41470</v>
      </c>
      <c r="C889" s="27">
        <v>0</v>
      </c>
      <c r="D889" s="25" t="str">
        <f t="shared" si="26"/>
        <v>201329</v>
      </c>
      <c r="E889" s="22" t="str">
        <f t="shared" ca="1" si="27"/>
        <v>201307</v>
      </c>
      <c r="F889" s="22">
        <v>2013</v>
      </c>
    </row>
    <row r="890" spans="1:6" ht="15.75">
      <c r="A890" s="22" t="s">
        <v>1441</v>
      </c>
      <c r="B890" s="26">
        <v>41471</v>
      </c>
      <c r="C890" s="27">
        <v>0</v>
      </c>
      <c r="D890" s="25" t="str">
        <f t="shared" si="26"/>
        <v>201329</v>
      </c>
      <c r="E890" s="22" t="str">
        <f t="shared" ca="1" si="27"/>
        <v>201307</v>
      </c>
      <c r="F890" s="22">
        <v>2013</v>
      </c>
    </row>
    <row r="891" spans="1:6" ht="15.75">
      <c r="A891" s="22" t="s">
        <v>1441</v>
      </c>
      <c r="B891" s="26">
        <v>41472</v>
      </c>
      <c r="C891" s="27">
        <v>0</v>
      </c>
      <c r="D891" s="25" t="str">
        <f t="shared" si="26"/>
        <v>201329</v>
      </c>
      <c r="E891" s="22" t="str">
        <f t="shared" ca="1" si="27"/>
        <v>201307</v>
      </c>
      <c r="F891" s="22">
        <v>2013</v>
      </c>
    </row>
    <row r="892" spans="1:6" ht="15.75">
      <c r="A892" s="22" t="s">
        <v>1441</v>
      </c>
      <c r="B892" s="26">
        <v>41473</v>
      </c>
      <c r="C892" s="27">
        <v>0</v>
      </c>
      <c r="D892" s="25" t="str">
        <f t="shared" si="26"/>
        <v>201329</v>
      </c>
      <c r="E892" s="22" t="str">
        <f t="shared" ca="1" si="27"/>
        <v>201307</v>
      </c>
      <c r="F892" s="22">
        <v>2013</v>
      </c>
    </row>
    <row r="893" spans="1:6" ht="15.75">
      <c r="A893" s="22" t="s">
        <v>1441</v>
      </c>
      <c r="B893" s="26">
        <v>41474</v>
      </c>
      <c r="C893" s="27">
        <v>0</v>
      </c>
      <c r="D893" s="25" t="str">
        <f t="shared" si="26"/>
        <v>201329</v>
      </c>
      <c r="E893" s="22" t="str">
        <f t="shared" ca="1" si="27"/>
        <v>201307</v>
      </c>
      <c r="F893" s="22">
        <v>2013</v>
      </c>
    </row>
    <row r="894" spans="1:6" ht="15.75">
      <c r="A894" s="22" t="s">
        <v>1441</v>
      </c>
      <c r="B894" s="26">
        <v>41475</v>
      </c>
      <c r="C894" s="27">
        <v>0</v>
      </c>
      <c r="D894" s="25" t="str">
        <f t="shared" si="26"/>
        <v>201329</v>
      </c>
      <c r="E894" s="22" t="str">
        <f t="shared" ca="1" si="27"/>
        <v>201307</v>
      </c>
      <c r="F894" s="22">
        <v>2013</v>
      </c>
    </row>
    <row r="895" spans="1:6" ht="15.75">
      <c r="A895" s="22" t="s">
        <v>1441</v>
      </c>
      <c r="B895" s="26">
        <v>41476</v>
      </c>
      <c r="C895" s="27">
        <v>0</v>
      </c>
      <c r="D895" s="25" t="str">
        <f t="shared" si="26"/>
        <v>201329</v>
      </c>
      <c r="E895" s="22" t="str">
        <f t="shared" ca="1" si="27"/>
        <v>201307</v>
      </c>
      <c r="F895" s="22">
        <v>2013</v>
      </c>
    </row>
    <row r="896" spans="1:6" ht="15.75">
      <c r="A896" s="22" t="s">
        <v>1441</v>
      </c>
      <c r="B896" s="26">
        <v>41477</v>
      </c>
      <c r="C896" s="27">
        <v>0</v>
      </c>
      <c r="D896" s="25" t="str">
        <f t="shared" si="26"/>
        <v>201330</v>
      </c>
      <c r="E896" s="22" t="str">
        <f t="shared" ca="1" si="27"/>
        <v>201307</v>
      </c>
      <c r="F896" s="22">
        <v>2013</v>
      </c>
    </row>
    <row r="897" spans="1:6" ht="15.75">
      <c r="A897" s="22" t="s">
        <v>1441</v>
      </c>
      <c r="B897" s="26">
        <v>41478</v>
      </c>
      <c r="C897" s="27">
        <v>0</v>
      </c>
      <c r="D897" s="25" t="str">
        <f t="shared" si="26"/>
        <v>201330</v>
      </c>
      <c r="E897" s="22" t="str">
        <f t="shared" ca="1" si="27"/>
        <v>201307</v>
      </c>
      <c r="F897" s="22">
        <v>2013</v>
      </c>
    </row>
    <row r="898" spans="1:6" ht="15.75">
      <c r="A898" s="22" t="s">
        <v>1441</v>
      </c>
      <c r="B898" s="26">
        <v>41479</v>
      </c>
      <c r="C898" s="27">
        <v>0</v>
      </c>
      <c r="D898" s="25" t="str">
        <f t="shared" si="26"/>
        <v>201330</v>
      </c>
      <c r="E898" s="22" t="str">
        <f t="shared" ca="1" si="27"/>
        <v>201307</v>
      </c>
      <c r="F898" s="22">
        <v>2013</v>
      </c>
    </row>
    <row r="899" spans="1:6" ht="15.75">
      <c r="A899" s="22" t="s">
        <v>1441</v>
      </c>
      <c r="B899" s="26">
        <v>41480</v>
      </c>
      <c r="C899" s="27">
        <v>0</v>
      </c>
      <c r="D899" s="25" t="str">
        <f t="shared" ref="D899:D962" si="28">CONCATENATE(YEAR(B899-WEEKDAY(B899,3)+3),TEXT(WEEKNUM(B899,21),"00"))</f>
        <v>201330</v>
      </c>
      <c r="E899" s="22" t="str">
        <f t="shared" ref="E899:E962" ca="1" si="29">IF(
  AND(
    YEAR(B899)=YEAR(TODAY())-1,
    MONTH(B899)=MONTH(TODAY()),
    DAY(B899)&gt;DAY($H$2)
  ),
  0,
  CONCATENATE(YEAR(B899),TEXT(MONTH(B899),"00"))
)</f>
        <v>201307</v>
      </c>
      <c r="F899" s="22">
        <v>2013</v>
      </c>
    </row>
    <row r="900" spans="1:6" ht="15.75">
      <c r="A900" s="22" t="s">
        <v>1441</v>
      </c>
      <c r="B900" s="26">
        <v>41481</v>
      </c>
      <c r="C900" s="27">
        <v>0</v>
      </c>
      <c r="D900" s="25" t="str">
        <f t="shared" si="28"/>
        <v>201330</v>
      </c>
      <c r="E900" s="22" t="str">
        <f t="shared" ca="1" si="29"/>
        <v>201307</v>
      </c>
      <c r="F900" s="22">
        <v>2013</v>
      </c>
    </row>
    <row r="901" spans="1:6" ht="15.75">
      <c r="A901" s="22" t="s">
        <v>1441</v>
      </c>
      <c r="B901" s="26">
        <v>41482</v>
      </c>
      <c r="C901" s="27">
        <v>0</v>
      </c>
      <c r="D901" s="25" t="str">
        <f t="shared" si="28"/>
        <v>201330</v>
      </c>
      <c r="E901" s="22" t="str">
        <f t="shared" ca="1" si="29"/>
        <v>201307</v>
      </c>
      <c r="F901" s="22">
        <v>2013</v>
      </c>
    </row>
    <row r="902" spans="1:6" ht="15.75">
      <c r="A902" s="22" t="s">
        <v>1441</v>
      </c>
      <c r="B902" s="26">
        <v>41483</v>
      </c>
      <c r="C902" s="27">
        <v>0</v>
      </c>
      <c r="D902" s="25" t="str">
        <f t="shared" si="28"/>
        <v>201330</v>
      </c>
      <c r="E902" s="22" t="str">
        <f t="shared" ca="1" si="29"/>
        <v>201307</v>
      </c>
      <c r="F902" s="22">
        <v>2013</v>
      </c>
    </row>
    <row r="903" spans="1:6" ht="15.75">
      <c r="A903" s="22" t="s">
        <v>1441</v>
      </c>
      <c r="B903" s="26">
        <v>41484</v>
      </c>
      <c r="C903" s="27">
        <v>0</v>
      </c>
      <c r="D903" s="25" t="str">
        <f t="shared" si="28"/>
        <v>201331</v>
      </c>
      <c r="E903" s="22" t="str">
        <f t="shared" ca="1" si="29"/>
        <v>201307</v>
      </c>
      <c r="F903" s="22">
        <v>2013</v>
      </c>
    </row>
    <row r="904" spans="1:6" ht="15.75">
      <c r="A904" s="22" t="s">
        <v>1441</v>
      </c>
      <c r="B904" s="26">
        <v>41485</v>
      </c>
      <c r="C904" s="27">
        <v>0</v>
      </c>
      <c r="D904" s="25" t="str">
        <f t="shared" si="28"/>
        <v>201331</v>
      </c>
      <c r="E904" s="22" t="str">
        <f t="shared" ca="1" si="29"/>
        <v>201307</v>
      </c>
      <c r="F904" s="22">
        <v>2013</v>
      </c>
    </row>
    <row r="905" spans="1:6" ht="15.75">
      <c r="A905" s="22" t="s">
        <v>1441</v>
      </c>
      <c r="B905" s="26">
        <v>41486</v>
      </c>
      <c r="C905" s="27">
        <v>0</v>
      </c>
      <c r="D905" s="25" t="str">
        <f t="shared" si="28"/>
        <v>201331</v>
      </c>
      <c r="E905" s="22" t="str">
        <f t="shared" ca="1" si="29"/>
        <v>201307</v>
      </c>
      <c r="F905" s="22">
        <v>2013</v>
      </c>
    </row>
    <row r="906" spans="1:6" ht="15.75">
      <c r="A906" s="22" t="s">
        <v>1441</v>
      </c>
      <c r="B906" s="26">
        <v>41487</v>
      </c>
      <c r="C906" s="27">
        <v>0</v>
      </c>
      <c r="D906" s="25" t="str">
        <f t="shared" si="28"/>
        <v>201331</v>
      </c>
      <c r="E906" s="22" t="str">
        <f t="shared" ca="1" si="29"/>
        <v>201308</v>
      </c>
      <c r="F906" s="22">
        <v>2013</v>
      </c>
    </row>
    <row r="907" spans="1:6" ht="15.75">
      <c r="A907" s="22" t="s">
        <v>1441</v>
      </c>
      <c r="B907" s="26">
        <v>41488</v>
      </c>
      <c r="C907" s="27">
        <v>0</v>
      </c>
      <c r="D907" s="25" t="str">
        <f t="shared" si="28"/>
        <v>201331</v>
      </c>
      <c r="E907" s="22" t="str">
        <f t="shared" ca="1" si="29"/>
        <v>201308</v>
      </c>
      <c r="F907" s="22">
        <v>2013</v>
      </c>
    </row>
    <row r="908" spans="1:6" ht="15.75">
      <c r="A908" s="22" t="s">
        <v>1441</v>
      </c>
      <c r="B908" s="26">
        <v>41489</v>
      </c>
      <c r="C908" s="27">
        <v>0</v>
      </c>
      <c r="D908" s="25" t="str">
        <f t="shared" si="28"/>
        <v>201331</v>
      </c>
      <c r="E908" s="22" t="str">
        <f t="shared" ca="1" si="29"/>
        <v>201308</v>
      </c>
      <c r="F908" s="22">
        <v>2013</v>
      </c>
    </row>
    <row r="909" spans="1:6" ht="15.75">
      <c r="A909" s="22" t="s">
        <v>1441</v>
      </c>
      <c r="B909" s="26">
        <v>41490</v>
      </c>
      <c r="C909" s="27">
        <v>0</v>
      </c>
      <c r="D909" s="25" t="str">
        <f t="shared" si="28"/>
        <v>201331</v>
      </c>
      <c r="E909" s="22" t="str">
        <f t="shared" ca="1" si="29"/>
        <v>201308</v>
      </c>
      <c r="F909" s="22">
        <v>2013</v>
      </c>
    </row>
    <row r="910" spans="1:6" ht="15.75">
      <c r="A910" s="22" t="s">
        <v>1441</v>
      </c>
      <c r="B910" s="26">
        <v>41491</v>
      </c>
      <c r="C910" s="27">
        <v>0</v>
      </c>
      <c r="D910" s="25" t="str">
        <f t="shared" si="28"/>
        <v>201332</v>
      </c>
      <c r="E910" s="22" t="str">
        <f t="shared" ca="1" si="29"/>
        <v>201308</v>
      </c>
      <c r="F910" s="22">
        <v>2013</v>
      </c>
    </row>
    <row r="911" spans="1:6" ht="15.75">
      <c r="A911" s="22" t="s">
        <v>1441</v>
      </c>
      <c r="B911" s="26">
        <v>41492</v>
      </c>
      <c r="C911" s="27">
        <v>0</v>
      </c>
      <c r="D911" s="25" t="str">
        <f t="shared" si="28"/>
        <v>201332</v>
      </c>
      <c r="E911" s="22" t="str">
        <f t="shared" ca="1" si="29"/>
        <v>201308</v>
      </c>
      <c r="F911" s="22">
        <v>2013</v>
      </c>
    </row>
    <row r="912" spans="1:6" ht="15.75">
      <c r="A912" s="22" t="s">
        <v>1441</v>
      </c>
      <c r="B912" s="26">
        <v>41493</v>
      </c>
      <c r="C912" s="27">
        <v>0</v>
      </c>
      <c r="D912" s="25" t="str">
        <f t="shared" si="28"/>
        <v>201332</v>
      </c>
      <c r="E912" s="22" t="str">
        <f t="shared" ca="1" si="29"/>
        <v>201308</v>
      </c>
      <c r="F912" s="22">
        <v>2013</v>
      </c>
    </row>
    <row r="913" spans="1:6" ht="15.75">
      <c r="A913" s="22" t="s">
        <v>1441</v>
      </c>
      <c r="B913" s="26">
        <v>41494</v>
      </c>
      <c r="C913" s="27">
        <v>0</v>
      </c>
      <c r="D913" s="25" t="str">
        <f t="shared" si="28"/>
        <v>201332</v>
      </c>
      <c r="E913" s="22" t="str">
        <f t="shared" ca="1" si="29"/>
        <v>201308</v>
      </c>
      <c r="F913" s="22">
        <v>2013</v>
      </c>
    </row>
    <row r="914" spans="1:6" ht="15.75">
      <c r="A914" s="22" t="s">
        <v>1441</v>
      </c>
      <c r="B914" s="26">
        <v>41495</v>
      </c>
      <c r="C914" s="27">
        <v>0</v>
      </c>
      <c r="D914" s="25" t="str">
        <f t="shared" si="28"/>
        <v>201332</v>
      </c>
      <c r="E914" s="22" t="str">
        <f t="shared" ca="1" si="29"/>
        <v>201308</v>
      </c>
      <c r="F914" s="22">
        <v>2013</v>
      </c>
    </row>
    <row r="915" spans="1:6" ht="15.75">
      <c r="A915" s="22" t="s">
        <v>1441</v>
      </c>
      <c r="B915" s="26">
        <v>41496</v>
      </c>
      <c r="C915" s="27">
        <v>0</v>
      </c>
      <c r="D915" s="25" t="str">
        <f t="shared" si="28"/>
        <v>201332</v>
      </c>
      <c r="E915" s="22" t="str">
        <f t="shared" ca="1" si="29"/>
        <v>201308</v>
      </c>
      <c r="F915" s="22">
        <v>2013</v>
      </c>
    </row>
    <row r="916" spans="1:6" ht="15.75">
      <c r="A916" s="22" t="s">
        <v>1441</v>
      </c>
      <c r="B916" s="26">
        <v>41497</v>
      </c>
      <c r="C916" s="27">
        <v>0</v>
      </c>
      <c r="D916" s="25" t="str">
        <f t="shared" si="28"/>
        <v>201332</v>
      </c>
      <c r="E916" s="22" t="str">
        <f t="shared" ca="1" si="29"/>
        <v>201308</v>
      </c>
      <c r="F916" s="22">
        <v>2013</v>
      </c>
    </row>
    <row r="917" spans="1:6" ht="15.75">
      <c r="A917" s="22" t="s">
        <v>1441</v>
      </c>
      <c r="B917" s="26">
        <v>41498</v>
      </c>
      <c r="C917" s="27">
        <v>0</v>
      </c>
      <c r="D917" s="25" t="str">
        <f t="shared" si="28"/>
        <v>201333</v>
      </c>
      <c r="E917" s="22" t="str">
        <f t="shared" ca="1" si="29"/>
        <v>201308</v>
      </c>
      <c r="F917" s="22">
        <v>2013</v>
      </c>
    </row>
    <row r="918" spans="1:6" ht="15.75">
      <c r="A918" s="22" t="s">
        <v>1441</v>
      </c>
      <c r="B918" s="26">
        <v>41499</v>
      </c>
      <c r="C918" s="27">
        <v>0</v>
      </c>
      <c r="D918" s="25" t="str">
        <f t="shared" si="28"/>
        <v>201333</v>
      </c>
      <c r="E918" s="22" t="str">
        <f t="shared" ca="1" si="29"/>
        <v>201308</v>
      </c>
      <c r="F918" s="22">
        <v>2013</v>
      </c>
    </row>
    <row r="919" spans="1:6" ht="15.75">
      <c r="A919" s="22" t="s">
        <v>1441</v>
      </c>
      <c r="B919" s="26">
        <v>41500</v>
      </c>
      <c r="C919" s="27">
        <v>0</v>
      </c>
      <c r="D919" s="25" t="str">
        <f t="shared" si="28"/>
        <v>201333</v>
      </c>
      <c r="E919" s="22" t="str">
        <f t="shared" ca="1" si="29"/>
        <v>201308</v>
      </c>
      <c r="F919" s="22">
        <v>2013</v>
      </c>
    </row>
    <row r="920" spans="1:6" ht="15.75">
      <c r="A920" s="22" t="s">
        <v>1441</v>
      </c>
      <c r="B920" s="26">
        <v>41501</v>
      </c>
      <c r="C920" s="27">
        <v>0</v>
      </c>
      <c r="D920" s="25" t="str">
        <f t="shared" si="28"/>
        <v>201333</v>
      </c>
      <c r="E920" s="22" t="str">
        <f t="shared" ca="1" si="29"/>
        <v>201308</v>
      </c>
      <c r="F920" s="22">
        <v>2013</v>
      </c>
    </row>
    <row r="921" spans="1:6" ht="15.75">
      <c r="A921" s="22" t="s">
        <v>1441</v>
      </c>
      <c r="B921" s="26">
        <v>41502</v>
      </c>
      <c r="C921" s="27">
        <v>0</v>
      </c>
      <c r="D921" s="25" t="str">
        <f t="shared" si="28"/>
        <v>201333</v>
      </c>
      <c r="E921" s="22" t="str">
        <f t="shared" ca="1" si="29"/>
        <v>201308</v>
      </c>
      <c r="F921" s="22">
        <v>2013</v>
      </c>
    </row>
    <row r="922" spans="1:6" ht="15.75">
      <c r="A922" s="22" t="s">
        <v>1441</v>
      </c>
      <c r="B922" s="26">
        <v>41503</v>
      </c>
      <c r="C922" s="27">
        <v>0</v>
      </c>
      <c r="D922" s="25" t="str">
        <f t="shared" si="28"/>
        <v>201333</v>
      </c>
      <c r="E922" s="22" t="str">
        <f t="shared" ca="1" si="29"/>
        <v>201308</v>
      </c>
      <c r="F922" s="22">
        <v>2013</v>
      </c>
    </row>
    <row r="923" spans="1:6" ht="15.75">
      <c r="A923" s="22" t="s">
        <v>1441</v>
      </c>
      <c r="B923" s="26">
        <v>41504</v>
      </c>
      <c r="C923" s="27">
        <v>0</v>
      </c>
      <c r="D923" s="25" t="str">
        <f t="shared" si="28"/>
        <v>201333</v>
      </c>
      <c r="E923" s="22" t="str">
        <f t="shared" ca="1" si="29"/>
        <v>201308</v>
      </c>
      <c r="F923" s="22">
        <v>2013</v>
      </c>
    </row>
    <row r="924" spans="1:6" ht="15.75">
      <c r="A924" s="22" t="s">
        <v>1441</v>
      </c>
      <c r="B924" s="26">
        <v>41505</v>
      </c>
      <c r="C924" s="27">
        <v>0</v>
      </c>
      <c r="D924" s="25" t="str">
        <f t="shared" si="28"/>
        <v>201334</v>
      </c>
      <c r="E924" s="22" t="str">
        <f t="shared" ca="1" si="29"/>
        <v>201308</v>
      </c>
      <c r="F924" s="22">
        <v>2013</v>
      </c>
    </row>
    <row r="925" spans="1:6" ht="15.75">
      <c r="A925" s="22" t="s">
        <v>1441</v>
      </c>
      <c r="B925" s="26">
        <v>41506</v>
      </c>
      <c r="C925" s="27">
        <v>0</v>
      </c>
      <c r="D925" s="25" t="str">
        <f t="shared" si="28"/>
        <v>201334</v>
      </c>
      <c r="E925" s="22" t="str">
        <f t="shared" ca="1" si="29"/>
        <v>201308</v>
      </c>
      <c r="F925" s="22">
        <v>2013</v>
      </c>
    </row>
    <row r="926" spans="1:6" ht="15.75">
      <c r="A926" s="22" t="s">
        <v>1441</v>
      </c>
      <c r="B926" s="26">
        <v>41507</v>
      </c>
      <c r="C926" s="27">
        <v>0</v>
      </c>
      <c r="D926" s="25" t="str">
        <f t="shared" si="28"/>
        <v>201334</v>
      </c>
      <c r="E926" s="22" t="str">
        <f t="shared" ca="1" si="29"/>
        <v>201308</v>
      </c>
      <c r="F926" s="22">
        <v>2013</v>
      </c>
    </row>
    <row r="927" spans="1:6" ht="15.75">
      <c r="A927" s="22" t="s">
        <v>1441</v>
      </c>
      <c r="B927" s="26">
        <v>41508</v>
      </c>
      <c r="C927" s="27">
        <v>0</v>
      </c>
      <c r="D927" s="25" t="str">
        <f t="shared" si="28"/>
        <v>201334</v>
      </c>
      <c r="E927" s="22" t="str">
        <f t="shared" ca="1" si="29"/>
        <v>201308</v>
      </c>
      <c r="F927" s="22">
        <v>2013</v>
      </c>
    </row>
    <row r="928" spans="1:6" ht="15.75">
      <c r="A928" s="22" t="s">
        <v>1441</v>
      </c>
      <c r="B928" s="26">
        <v>41509</v>
      </c>
      <c r="C928" s="27">
        <v>0</v>
      </c>
      <c r="D928" s="25" t="str">
        <f t="shared" si="28"/>
        <v>201334</v>
      </c>
      <c r="E928" s="22" t="str">
        <f t="shared" ca="1" si="29"/>
        <v>201308</v>
      </c>
      <c r="F928" s="22">
        <v>2013</v>
      </c>
    </row>
    <row r="929" spans="1:6" ht="15.75">
      <c r="A929" s="22" t="s">
        <v>1441</v>
      </c>
      <c r="B929" s="26">
        <v>41510</v>
      </c>
      <c r="C929" s="27">
        <v>0</v>
      </c>
      <c r="D929" s="25" t="str">
        <f t="shared" si="28"/>
        <v>201334</v>
      </c>
      <c r="E929" s="22" t="str">
        <f t="shared" ca="1" si="29"/>
        <v>201308</v>
      </c>
      <c r="F929" s="22">
        <v>2013</v>
      </c>
    </row>
    <row r="930" spans="1:6" ht="15.75">
      <c r="A930" s="22" t="s">
        <v>1441</v>
      </c>
      <c r="B930" s="26">
        <v>41511</v>
      </c>
      <c r="C930" s="27">
        <v>0</v>
      </c>
      <c r="D930" s="25" t="str">
        <f t="shared" si="28"/>
        <v>201334</v>
      </c>
      <c r="E930" s="22" t="str">
        <f t="shared" ca="1" si="29"/>
        <v>201308</v>
      </c>
      <c r="F930" s="22">
        <v>2013</v>
      </c>
    </row>
    <row r="931" spans="1:6" ht="15.75">
      <c r="A931" s="22" t="s">
        <v>1441</v>
      </c>
      <c r="B931" s="26">
        <v>41512</v>
      </c>
      <c r="C931" s="27">
        <v>0</v>
      </c>
      <c r="D931" s="25" t="str">
        <f t="shared" si="28"/>
        <v>201335</v>
      </c>
      <c r="E931" s="22" t="str">
        <f t="shared" ca="1" si="29"/>
        <v>201308</v>
      </c>
      <c r="F931" s="22">
        <v>2013</v>
      </c>
    </row>
    <row r="932" spans="1:6" ht="15.75">
      <c r="A932" s="22" t="s">
        <v>1441</v>
      </c>
      <c r="B932" s="26">
        <v>41513</v>
      </c>
      <c r="C932" s="27">
        <v>0</v>
      </c>
      <c r="D932" s="25" t="str">
        <f t="shared" si="28"/>
        <v>201335</v>
      </c>
      <c r="E932" s="22" t="str">
        <f t="shared" ca="1" si="29"/>
        <v>201308</v>
      </c>
      <c r="F932" s="22">
        <v>2013</v>
      </c>
    </row>
    <row r="933" spans="1:6" ht="15.75">
      <c r="A933" s="22" t="s">
        <v>1441</v>
      </c>
      <c r="B933" s="26">
        <v>41514</v>
      </c>
      <c r="C933" s="27">
        <v>0</v>
      </c>
      <c r="D933" s="25" t="str">
        <f t="shared" si="28"/>
        <v>201335</v>
      </c>
      <c r="E933" s="22" t="str">
        <f t="shared" ca="1" si="29"/>
        <v>201308</v>
      </c>
      <c r="F933" s="22">
        <v>2013</v>
      </c>
    </row>
    <row r="934" spans="1:6" ht="15.75">
      <c r="A934" s="22" t="s">
        <v>1441</v>
      </c>
      <c r="B934" s="26">
        <v>41515</v>
      </c>
      <c r="C934" s="27">
        <v>0</v>
      </c>
      <c r="D934" s="25" t="str">
        <f t="shared" si="28"/>
        <v>201335</v>
      </c>
      <c r="E934" s="22" t="str">
        <f t="shared" ca="1" si="29"/>
        <v>201308</v>
      </c>
      <c r="F934" s="22">
        <v>2013</v>
      </c>
    </row>
    <row r="935" spans="1:6" ht="15.75">
      <c r="A935" s="22" t="s">
        <v>1441</v>
      </c>
      <c r="B935" s="26">
        <v>41516</v>
      </c>
      <c r="C935" s="27">
        <v>4.2</v>
      </c>
      <c r="D935" s="25" t="str">
        <f t="shared" si="28"/>
        <v>201335</v>
      </c>
      <c r="E935" s="22" t="str">
        <f t="shared" ca="1" si="29"/>
        <v>201308</v>
      </c>
      <c r="F935" s="22">
        <v>2013</v>
      </c>
    </row>
    <row r="936" spans="1:6" ht="15.75">
      <c r="A936" s="22" t="s">
        <v>1441</v>
      </c>
      <c r="B936" s="26">
        <v>41517</v>
      </c>
      <c r="C936" s="27">
        <v>5.8</v>
      </c>
      <c r="D936" s="25" t="str">
        <f t="shared" si="28"/>
        <v>201335</v>
      </c>
      <c r="E936" s="22" t="str">
        <f t="shared" ca="1" si="29"/>
        <v>201308</v>
      </c>
      <c r="F936" s="22">
        <v>2013</v>
      </c>
    </row>
    <row r="937" spans="1:6" ht="15.75">
      <c r="A937" s="22" t="s">
        <v>1441</v>
      </c>
      <c r="B937" s="26">
        <v>41518</v>
      </c>
      <c r="C937" s="27">
        <v>0</v>
      </c>
      <c r="D937" s="25" t="str">
        <f t="shared" si="28"/>
        <v>201335</v>
      </c>
      <c r="E937" s="22" t="str">
        <f t="shared" ca="1" si="29"/>
        <v>201309</v>
      </c>
      <c r="F937" s="22">
        <v>2013</v>
      </c>
    </row>
    <row r="938" spans="1:6" ht="15.75">
      <c r="A938" s="22" t="s">
        <v>1441</v>
      </c>
      <c r="B938" s="26">
        <v>41519</v>
      </c>
      <c r="C938" s="27">
        <v>0</v>
      </c>
      <c r="D938" s="25" t="str">
        <f t="shared" si="28"/>
        <v>201336</v>
      </c>
      <c r="E938" s="22" t="str">
        <f t="shared" ca="1" si="29"/>
        <v>201309</v>
      </c>
      <c r="F938" s="22">
        <v>2013</v>
      </c>
    </row>
    <row r="939" spans="1:6" ht="15.75">
      <c r="A939" s="22" t="s">
        <v>1441</v>
      </c>
      <c r="B939" s="26">
        <v>41520</v>
      </c>
      <c r="C939" s="27">
        <v>0</v>
      </c>
      <c r="D939" s="25" t="str">
        <f t="shared" si="28"/>
        <v>201336</v>
      </c>
      <c r="E939" s="22" t="str">
        <f t="shared" ca="1" si="29"/>
        <v>201309</v>
      </c>
      <c r="F939" s="22">
        <v>2013</v>
      </c>
    </row>
    <row r="940" spans="1:6" ht="15.75">
      <c r="A940" s="22" t="s">
        <v>1441</v>
      </c>
      <c r="B940" s="26">
        <v>41521</v>
      </c>
      <c r="C940" s="27">
        <v>0</v>
      </c>
      <c r="D940" s="25" t="str">
        <f t="shared" si="28"/>
        <v>201336</v>
      </c>
      <c r="E940" s="22" t="str">
        <f t="shared" ca="1" si="29"/>
        <v>201309</v>
      </c>
      <c r="F940" s="22">
        <v>2013</v>
      </c>
    </row>
    <row r="941" spans="1:6" ht="15.75">
      <c r="A941" s="22" t="s">
        <v>1441</v>
      </c>
      <c r="B941" s="26">
        <v>41522</v>
      </c>
      <c r="C941" s="27">
        <v>0</v>
      </c>
      <c r="D941" s="25" t="str">
        <f t="shared" si="28"/>
        <v>201336</v>
      </c>
      <c r="E941" s="22" t="str">
        <f t="shared" ca="1" si="29"/>
        <v>201309</v>
      </c>
      <c r="F941" s="22">
        <v>2013</v>
      </c>
    </row>
    <row r="942" spans="1:6" ht="15.75">
      <c r="A942" s="22" t="s">
        <v>1441</v>
      </c>
      <c r="B942" s="26">
        <v>41523</v>
      </c>
      <c r="C942" s="27">
        <v>0</v>
      </c>
      <c r="D942" s="25" t="str">
        <f t="shared" si="28"/>
        <v>201336</v>
      </c>
      <c r="E942" s="22" t="str">
        <f t="shared" ca="1" si="29"/>
        <v>201309</v>
      </c>
      <c r="F942" s="22">
        <v>2013</v>
      </c>
    </row>
    <row r="943" spans="1:6" ht="15.75">
      <c r="A943" s="22" t="s">
        <v>1441</v>
      </c>
      <c r="B943" s="26">
        <v>41524</v>
      </c>
      <c r="C943" s="27">
        <v>0</v>
      </c>
      <c r="D943" s="25" t="str">
        <f t="shared" si="28"/>
        <v>201336</v>
      </c>
      <c r="E943" s="22" t="str">
        <f t="shared" ca="1" si="29"/>
        <v>201309</v>
      </c>
      <c r="F943" s="22">
        <v>2013</v>
      </c>
    </row>
    <row r="944" spans="1:6" ht="15.75">
      <c r="A944" s="22" t="s">
        <v>1441</v>
      </c>
      <c r="B944" s="26">
        <v>41525</v>
      </c>
      <c r="C944" s="27">
        <v>0</v>
      </c>
      <c r="D944" s="25" t="str">
        <f t="shared" si="28"/>
        <v>201336</v>
      </c>
      <c r="E944" s="22" t="str">
        <f t="shared" ca="1" si="29"/>
        <v>201309</v>
      </c>
      <c r="F944" s="22">
        <v>2013</v>
      </c>
    </row>
    <row r="945" spans="1:6" ht="15.75">
      <c r="A945" s="22" t="s">
        <v>1441</v>
      </c>
      <c r="B945" s="26">
        <v>41526</v>
      </c>
      <c r="C945" s="27">
        <v>2.61</v>
      </c>
      <c r="D945" s="25" t="str">
        <f t="shared" si="28"/>
        <v>201337</v>
      </c>
      <c r="E945" s="22" t="str">
        <f t="shared" ca="1" si="29"/>
        <v>201309</v>
      </c>
      <c r="F945" s="22">
        <v>2013</v>
      </c>
    </row>
    <row r="946" spans="1:6" ht="15.75">
      <c r="A946" s="22" t="s">
        <v>1441</v>
      </c>
      <c r="B946" s="26">
        <v>41527</v>
      </c>
      <c r="C946" s="27">
        <v>3.35</v>
      </c>
      <c r="D946" s="25" t="str">
        <f t="shared" si="28"/>
        <v>201337</v>
      </c>
      <c r="E946" s="22" t="str">
        <f t="shared" ca="1" si="29"/>
        <v>201309</v>
      </c>
      <c r="F946" s="22">
        <v>2013</v>
      </c>
    </row>
    <row r="947" spans="1:6" ht="15.75">
      <c r="A947" s="22" t="s">
        <v>1441</v>
      </c>
      <c r="B947" s="26">
        <v>41528</v>
      </c>
      <c r="C947" s="27">
        <v>0.8</v>
      </c>
      <c r="D947" s="25" t="str">
        <f t="shared" si="28"/>
        <v>201337</v>
      </c>
      <c r="E947" s="22" t="str">
        <f t="shared" ca="1" si="29"/>
        <v>201309</v>
      </c>
      <c r="F947" s="22">
        <v>2013</v>
      </c>
    </row>
    <row r="948" spans="1:6" ht="15.75">
      <c r="A948" s="22" t="s">
        <v>1441</v>
      </c>
      <c r="B948" s="26">
        <v>41529</v>
      </c>
      <c r="C948" s="27">
        <v>0</v>
      </c>
      <c r="D948" s="25" t="str">
        <f t="shared" si="28"/>
        <v>201337</v>
      </c>
      <c r="E948" s="22" t="str">
        <f t="shared" ca="1" si="29"/>
        <v>201309</v>
      </c>
      <c r="F948" s="22">
        <v>2013</v>
      </c>
    </row>
    <row r="949" spans="1:6" ht="15.75">
      <c r="A949" s="22" t="s">
        <v>1441</v>
      </c>
      <c r="B949" s="26">
        <v>41530</v>
      </c>
      <c r="C949" s="27">
        <v>0</v>
      </c>
      <c r="D949" s="25" t="str">
        <f t="shared" si="28"/>
        <v>201337</v>
      </c>
      <c r="E949" s="22" t="str">
        <f t="shared" ca="1" si="29"/>
        <v>201309</v>
      </c>
      <c r="F949" s="22">
        <v>2013</v>
      </c>
    </row>
    <row r="950" spans="1:6" ht="15.75">
      <c r="A950" s="22" t="s">
        <v>1441</v>
      </c>
      <c r="B950" s="26">
        <v>41531</v>
      </c>
      <c r="C950" s="27">
        <v>0</v>
      </c>
      <c r="D950" s="25" t="str">
        <f t="shared" si="28"/>
        <v>201337</v>
      </c>
      <c r="E950" s="22" t="str">
        <f t="shared" ca="1" si="29"/>
        <v>201309</v>
      </c>
      <c r="F950" s="22">
        <v>2013</v>
      </c>
    </row>
    <row r="951" spans="1:6" ht="15.75">
      <c r="A951" s="22" t="s">
        <v>1441</v>
      </c>
      <c r="B951" s="26">
        <v>41532</v>
      </c>
      <c r="C951" s="27">
        <v>0</v>
      </c>
      <c r="D951" s="25" t="str">
        <f t="shared" si="28"/>
        <v>201337</v>
      </c>
      <c r="E951" s="22" t="str">
        <f t="shared" ca="1" si="29"/>
        <v>201309</v>
      </c>
      <c r="F951" s="22">
        <v>2013</v>
      </c>
    </row>
    <row r="952" spans="1:6" ht="15.75">
      <c r="A952" s="22" t="s">
        <v>1441</v>
      </c>
      <c r="B952" s="26">
        <v>41533</v>
      </c>
      <c r="C952" s="27">
        <v>0</v>
      </c>
      <c r="D952" s="25" t="str">
        <f t="shared" si="28"/>
        <v>201338</v>
      </c>
      <c r="E952" s="22" t="str">
        <f t="shared" ca="1" si="29"/>
        <v>201309</v>
      </c>
      <c r="F952" s="22">
        <v>2013</v>
      </c>
    </row>
    <row r="953" spans="1:6" ht="15.75">
      <c r="A953" s="22" t="s">
        <v>1441</v>
      </c>
      <c r="B953" s="26">
        <v>41534</v>
      </c>
      <c r="C953" s="27">
        <v>0</v>
      </c>
      <c r="D953" s="25" t="str">
        <f t="shared" si="28"/>
        <v>201338</v>
      </c>
      <c r="E953" s="22" t="str">
        <f t="shared" ca="1" si="29"/>
        <v>201309</v>
      </c>
      <c r="F953" s="22">
        <v>2013</v>
      </c>
    </row>
    <row r="954" spans="1:6" ht="15.75">
      <c r="A954" s="22" t="s">
        <v>1441</v>
      </c>
      <c r="B954" s="26">
        <v>41535</v>
      </c>
      <c r="C954" s="27">
        <v>0</v>
      </c>
      <c r="D954" s="25" t="str">
        <f t="shared" si="28"/>
        <v>201338</v>
      </c>
      <c r="E954" s="22" t="str">
        <f t="shared" ca="1" si="29"/>
        <v>201309</v>
      </c>
      <c r="F954" s="22">
        <v>2013</v>
      </c>
    </row>
    <row r="955" spans="1:6" ht="15.75">
      <c r="A955" s="22" t="s">
        <v>1441</v>
      </c>
      <c r="B955" s="26">
        <v>41536</v>
      </c>
      <c r="C955" s="27">
        <v>3.86</v>
      </c>
      <c r="D955" s="25" t="str">
        <f t="shared" si="28"/>
        <v>201338</v>
      </c>
      <c r="E955" s="22" t="str">
        <f t="shared" ca="1" si="29"/>
        <v>201309</v>
      </c>
      <c r="F955" s="22">
        <v>2013</v>
      </c>
    </row>
    <row r="956" spans="1:6" ht="15.75">
      <c r="A956" s="22" t="s">
        <v>1441</v>
      </c>
      <c r="B956" s="26">
        <v>41537</v>
      </c>
      <c r="C956" s="27">
        <v>6.1</v>
      </c>
      <c r="D956" s="25" t="str">
        <f t="shared" si="28"/>
        <v>201338</v>
      </c>
      <c r="E956" s="22" t="str">
        <f t="shared" ca="1" si="29"/>
        <v>201309</v>
      </c>
      <c r="F956" s="22">
        <v>2013</v>
      </c>
    </row>
    <row r="957" spans="1:6" ht="15.75">
      <c r="A957" s="22" t="s">
        <v>1441</v>
      </c>
      <c r="B957" s="26">
        <v>41538</v>
      </c>
      <c r="C957" s="27">
        <v>1.93</v>
      </c>
      <c r="D957" s="25" t="str">
        <f t="shared" si="28"/>
        <v>201338</v>
      </c>
      <c r="E957" s="22" t="str">
        <f t="shared" ca="1" si="29"/>
        <v>201309</v>
      </c>
      <c r="F957" s="22">
        <v>2013</v>
      </c>
    </row>
    <row r="958" spans="1:6" ht="15.75">
      <c r="A958" s="22" t="s">
        <v>1441</v>
      </c>
      <c r="B958" s="26">
        <v>41539</v>
      </c>
      <c r="C958" s="27">
        <v>0</v>
      </c>
      <c r="D958" s="25" t="str">
        <f t="shared" si="28"/>
        <v>201338</v>
      </c>
      <c r="E958" s="22" t="str">
        <f t="shared" ca="1" si="29"/>
        <v>201309</v>
      </c>
      <c r="F958" s="22">
        <v>2013</v>
      </c>
    </row>
    <row r="959" spans="1:6" ht="15.75">
      <c r="A959" s="22" t="s">
        <v>1441</v>
      </c>
      <c r="B959" s="26">
        <v>41540</v>
      </c>
      <c r="C959" s="27">
        <v>0</v>
      </c>
      <c r="D959" s="25" t="str">
        <f t="shared" si="28"/>
        <v>201339</v>
      </c>
      <c r="E959" s="22" t="str">
        <f t="shared" ca="1" si="29"/>
        <v>201309</v>
      </c>
      <c r="F959" s="22">
        <v>2013</v>
      </c>
    </row>
    <row r="960" spans="1:6" ht="15.75">
      <c r="A960" s="22" t="s">
        <v>1441</v>
      </c>
      <c r="B960" s="26">
        <v>41541</v>
      </c>
      <c r="C960" s="27">
        <v>0</v>
      </c>
      <c r="D960" s="25" t="str">
        <f t="shared" si="28"/>
        <v>201339</v>
      </c>
      <c r="E960" s="22" t="str">
        <f t="shared" ca="1" si="29"/>
        <v>201309</v>
      </c>
      <c r="F960" s="22">
        <v>2013</v>
      </c>
    </row>
    <row r="961" spans="1:6" ht="15.75">
      <c r="A961" s="22" t="s">
        <v>1441</v>
      </c>
      <c r="B961" s="26">
        <v>41542</v>
      </c>
      <c r="C961" s="27">
        <v>0</v>
      </c>
      <c r="D961" s="25" t="str">
        <f t="shared" si="28"/>
        <v>201339</v>
      </c>
      <c r="E961" s="22" t="str">
        <f t="shared" ca="1" si="29"/>
        <v>201309</v>
      </c>
      <c r="F961" s="22">
        <v>2013</v>
      </c>
    </row>
    <row r="962" spans="1:6" ht="15.75">
      <c r="A962" s="22" t="s">
        <v>1441</v>
      </c>
      <c r="B962" s="26">
        <v>41543</v>
      </c>
      <c r="C962" s="27">
        <v>0</v>
      </c>
      <c r="D962" s="25" t="str">
        <f t="shared" si="28"/>
        <v>201339</v>
      </c>
      <c r="E962" s="22" t="str">
        <f t="shared" ca="1" si="29"/>
        <v>201309</v>
      </c>
      <c r="F962" s="22">
        <v>2013</v>
      </c>
    </row>
    <row r="963" spans="1:6" ht="15.75">
      <c r="A963" s="22" t="s">
        <v>1441</v>
      </c>
      <c r="B963" s="26">
        <v>41544</v>
      </c>
      <c r="C963" s="27">
        <v>0</v>
      </c>
      <c r="D963" s="25" t="str">
        <f t="shared" ref="D963:D1026" si="30">CONCATENATE(YEAR(B963-WEEKDAY(B963,3)+3),TEXT(WEEKNUM(B963,21),"00"))</f>
        <v>201339</v>
      </c>
      <c r="E963" s="22" t="str">
        <f t="shared" ref="E963:E1026" ca="1" si="31">IF(
  AND(
    YEAR(B963)=YEAR(TODAY())-1,
    MONTH(B963)=MONTH(TODAY()),
    DAY(B963)&gt;DAY($H$2)
  ),
  0,
  CONCATENATE(YEAR(B963),TEXT(MONTH(B963),"00"))
)</f>
        <v>201309</v>
      </c>
      <c r="F963" s="22">
        <v>2013</v>
      </c>
    </row>
    <row r="964" spans="1:6" ht="15.75">
      <c r="A964" s="22" t="s">
        <v>1441</v>
      </c>
      <c r="B964" s="26">
        <v>41545</v>
      </c>
      <c r="C964" s="27">
        <v>0</v>
      </c>
      <c r="D964" s="25" t="str">
        <f t="shared" si="30"/>
        <v>201339</v>
      </c>
      <c r="E964" s="22" t="str">
        <f t="shared" ca="1" si="31"/>
        <v>201309</v>
      </c>
      <c r="F964" s="22">
        <v>2013</v>
      </c>
    </row>
    <row r="965" spans="1:6" ht="15.75">
      <c r="A965" s="22" t="s">
        <v>1441</v>
      </c>
      <c r="B965" s="26">
        <v>41546</v>
      </c>
      <c r="C965" s="27">
        <v>0</v>
      </c>
      <c r="D965" s="25" t="str">
        <f t="shared" si="30"/>
        <v>201339</v>
      </c>
      <c r="E965" s="22" t="str">
        <f t="shared" ca="1" si="31"/>
        <v>201309</v>
      </c>
      <c r="F965" s="22">
        <v>2013</v>
      </c>
    </row>
    <row r="966" spans="1:6" ht="15.75">
      <c r="A966" s="22" t="s">
        <v>1441</v>
      </c>
      <c r="B966" s="26">
        <v>41547</v>
      </c>
      <c r="C966" s="27">
        <v>0</v>
      </c>
      <c r="D966" s="25" t="str">
        <f t="shared" si="30"/>
        <v>201340</v>
      </c>
      <c r="E966" s="22" t="str">
        <f t="shared" ca="1" si="31"/>
        <v>201309</v>
      </c>
      <c r="F966" s="22">
        <v>2013</v>
      </c>
    </row>
    <row r="967" spans="1:6" ht="15.75">
      <c r="A967" s="22" t="s">
        <v>1441</v>
      </c>
      <c r="B967" s="26">
        <v>41548</v>
      </c>
      <c r="C967" s="27">
        <v>0</v>
      </c>
      <c r="D967" s="25" t="str">
        <f t="shared" si="30"/>
        <v>201340</v>
      </c>
      <c r="E967" s="22" t="str">
        <f t="shared" ca="1" si="31"/>
        <v>201310</v>
      </c>
      <c r="F967" s="22">
        <v>2013</v>
      </c>
    </row>
    <row r="968" spans="1:6" ht="15.75">
      <c r="A968" s="22" t="s">
        <v>1441</v>
      </c>
      <c r="B968" s="26">
        <v>41549</v>
      </c>
      <c r="C968" s="27">
        <v>0</v>
      </c>
      <c r="D968" s="25" t="str">
        <f t="shared" si="30"/>
        <v>201340</v>
      </c>
      <c r="E968" s="22" t="str">
        <f t="shared" ca="1" si="31"/>
        <v>201310</v>
      </c>
      <c r="F968" s="22">
        <v>2013</v>
      </c>
    </row>
    <row r="969" spans="1:6" ht="15.75">
      <c r="A969" s="22" t="s">
        <v>1441</v>
      </c>
      <c r="B969" s="26">
        <v>41550</v>
      </c>
      <c r="C969" s="27">
        <v>0</v>
      </c>
      <c r="D969" s="25" t="str">
        <f t="shared" si="30"/>
        <v>201340</v>
      </c>
      <c r="E969" s="22" t="str">
        <f t="shared" ca="1" si="31"/>
        <v>201310</v>
      </c>
      <c r="F969" s="22">
        <v>2013</v>
      </c>
    </row>
    <row r="970" spans="1:6" ht="15.75">
      <c r="A970" s="22" t="s">
        <v>1441</v>
      </c>
      <c r="B970" s="26">
        <v>41551</v>
      </c>
      <c r="C970" s="27">
        <v>0</v>
      </c>
      <c r="D970" s="25" t="str">
        <f t="shared" si="30"/>
        <v>201340</v>
      </c>
      <c r="E970" s="22" t="str">
        <f t="shared" ca="1" si="31"/>
        <v>201310</v>
      </c>
      <c r="F970" s="22">
        <v>2013</v>
      </c>
    </row>
    <row r="971" spans="1:6" ht="15.75">
      <c r="A971" s="22" t="s">
        <v>1441</v>
      </c>
      <c r="B971" s="26">
        <v>41552</v>
      </c>
      <c r="C971" s="27">
        <v>0</v>
      </c>
      <c r="D971" s="25" t="str">
        <f t="shared" si="30"/>
        <v>201340</v>
      </c>
      <c r="E971" s="22" t="str">
        <f t="shared" ca="1" si="31"/>
        <v>201310</v>
      </c>
      <c r="F971" s="22">
        <v>2013</v>
      </c>
    </row>
    <row r="972" spans="1:6" ht="15.75">
      <c r="A972" s="22" t="s">
        <v>1441</v>
      </c>
      <c r="B972" s="26">
        <v>41553</v>
      </c>
      <c r="C972" s="27">
        <v>0</v>
      </c>
      <c r="D972" s="25" t="str">
        <f t="shared" si="30"/>
        <v>201340</v>
      </c>
      <c r="E972" s="22" t="str">
        <f t="shared" ca="1" si="31"/>
        <v>201310</v>
      </c>
      <c r="F972" s="22">
        <v>2013</v>
      </c>
    </row>
    <row r="973" spans="1:6" ht="15.75">
      <c r="A973" s="22" t="s">
        <v>1441</v>
      </c>
      <c r="B973" s="26">
        <v>41554</v>
      </c>
      <c r="C973" s="27">
        <v>0</v>
      </c>
      <c r="D973" s="25" t="str">
        <f t="shared" si="30"/>
        <v>201341</v>
      </c>
      <c r="E973" s="22" t="str">
        <f t="shared" ca="1" si="31"/>
        <v>201310</v>
      </c>
      <c r="F973" s="22">
        <v>2013</v>
      </c>
    </row>
    <row r="974" spans="1:6" ht="15.75">
      <c r="A974" s="22" t="s">
        <v>1441</v>
      </c>
      <c r="B974" s="26">
        <v>41555</v>
      </c>
      <c r="C974" s="27">
        <v>0</v>
      </c>
      <c r="D974" s="25" t="str">
        <f t="shared" si="30"/>
        <v>201341</v>
      </c>
      <c r="E974" s="22" t="str">
        <f t="shared" ca="1" si="31"/>
        <v>201310</v>
      </c>
      <c r="F974" s="22">
        <v>2013</v>
      </c>
    </row>
    <row r="975" spans="1:6" ht="15.75">
      <c r="A975" s="22" t="s">
        <v>1441</v>
      </c>
      <c r="B975" s="26">
        <v>41556</v>
      </c>
      <c r="C975" s="27">
        <v>0</v>
      </c>
      <c r="D975" s="25" t="str">
        <f t="shared" si="30"/>
        <v>201341</v>
      </c>
      <c r="E975" s="22" t="str">
        <f t="shared" ca="1" si="31"/>
        <v>201310</v>
      </c>
      <c r="F975" s="22">
        <v>2013</v>
      </c>
    </row>
    <row r="976" spans="1:6" ht="15.75">
      <c r="A976" s="22" t="s">
        <v>1441</v>
      </c>
      <c r="B976" s="26">
        <v>41557</v>
      </c>
      <c r="C976" s="27">
        <v>0</v>
      </c>
      <c r="D976" s="25" t="str">
        <f t="shared" si="30"/>
        <v>201341</v>
      </c>
      <c r="E976" s="22" t="str">
        <f t="shared" ca="1" si="31"/>
        <v>201310</v>
      </c>
      <c r="F976" s="22">
        <v>2013</v>
      </c>
    </row>
    <row r="977" spans="1:6" ht="15.75">
      <c r="A977" s="22" t="s">
        <v>1441</v>
      </c>
      <c r="B977" s="26">
        <v>41558</v>
      </c>
      <c r="C977" s="27">
        <v>0</v>
      </c>
      <c r="D977" s="25" t="str">
        <f t="shared" si="30"/>
        <v>201341</v>
      </c>
      <c r="E977" s="22" t="str">
        <f t="shared" ca="1" si="31"/>
        <v>201310</v>
      </c>
      <c r="F977" s="22">
        <v>2013</v>
      </c>
    </row>
    <row r="978" spans="1:6" ht="15.75">
      <c r="A978" s="22" t="s">
        <v>1441</v>
      </c>
      <c r="B978" s="26">
        <v>41559</v>
      </c>
      <c r="C978" s="27">
        <v>0</v>
      </c>
      <c r="D978" s="25" t="str">
        <f t="shared" si="30"/>
        <v>201341</v>
      </c>
      <c r="E978" s="22" t="str">
        <f t="shared" ca="1" si="31"/>
        <v>201310</v>
      </c>
      <c r="F978" s="22">
        <v>2013</v>
      </c>
    </row>
    <row r="979" spans="1:6" ht="15.75">
      <c r="A979" s="22" t="s">
        <v>1441</v>
      </c>
      <c r="B979" s="26">
        <v>41560</v>
      </c>
      <c r="C979" s="27">
        <v>0</v>
      </c>
      <c r="D979" s="25" t="str">
        <f t="shared" si="30"/>
        <v>201341</v>
      </c>
      <c r="E979" s="22" t="str">
        <f t="shared" ca="1" si="31"/>
        <v>201310</v>
      </c>
      <c r="F979" s="22">
        <v>2013</v>
      </c>
    </row>
    <row r="980" spans="1:6" ht="15.75">
      <c r="A980" s="22" t="s">
        <v>1441</v>
      </c>
      <c r="B980" s="26">
        <v>41561</v>
      </c>
      <c r="C980" s="27">
        <v>0</v>
      </c>
      <c r="D980" s="25" t="str">
        <f t="shared" si="30"/>
        <v>201342</v>
      </c>
      <c r="E980" s="22" t="str">
        <f t="shared" ca="1" si="31"/>
        <v>201310</v>
      </c>
      <c r="F980" s="22">
        <v>2013</v>
      </c>
    </row>
    <row r="981" spans="1:6" ht="15.75">
      <c r="A981" s="22" t="s">
        <v>1441</v>
      </c>
      <c r="B981" s="26">
        <v>41562</v>
      </c>
      <c r="C981" s="27">
        <v>0</v>
      </c>
      <c r="D981" s="25" t="str">
        <f t="shared" si="30"/>
        <v>201342</v>
      </c>
      <c r="E981" s="22" t="str">
        <f t="shared" ca="1" si="31"/>
        <v>201310</v>
      </c>
      <c r="F981" s="22">
        <v>2013</v>
      </c>
    </row>
    <row r="982" spans="1:6" ht="15.75">
      <c r="A982" s="22" t="s">
        <v>1441</v>
      </c>
      <c r="B982" s="26">
        <v>41563</v>
      </c>
      <c r="C982" s="27">
        <v>0</v>
      </c>
      <c r="D982" s="25" t="str">
        <f t="shared" si="30"/>
        <v>201342</v>
      </c>
      <c r="E982" s="22" t="str">
        <f t="shared" ca="1" si="31"/>
        <v>201310</v>
      </c>
      <c r="F982" s="22">
        <v>2013</v>
      </c>
    </row>
    <row r="983" spans="1:6" ht="15.75">
      <c r="A983" s="22" t="s">
        <v>1441</v>
      </c>
      <c r="B983" s="26">
        <v>41564</v>
      </c>
      <c r="C983" s="27">
        <v>0</v>
      </c>
      <c r="D983" s="25" t="str">
        <f t="shared" si="30"/>
        <v>201342</v>
      </c>
      <c r="E983" s="22" t="str">
        <f t="shared" ca="1" si="31"/>
        <v>201310</v>
      </c>
      <c r="F983" s="22">
        <v>2013</v>
      </c>
    </row>
    <row r="984" spans="1:6" ht="15.75">
      <c r="A984" s="22" t="s">
        <v>1441</v>
      </c>
      <c r="B984" s="26">
        <v>41565</v>
      </c>
      <c r="C984" s="27">
        <v>0</v>
      </c>
      <c r="D984" s="25" t="str">
        <f t="shared" si="30"/>
        <v>201342</v>
      </c>
      <c r="E984" s="22" t="str">
        <f t="shared" ca="1" si="31"/>
        <v>201310</v>
      </c>
      <c r="F984" s="22">
        <v>2013</v>
      </c>
    </row>
    <row r="985" spans="1:6" ht="15.75">
      <c r="A985" s="22" t="s">
        <v>1441</v>
      </c>
      <c r="B985" s="26">
        <v>41566</v>
      </c>
      <c r="C985" s="27">
        <v>0</v>
      </c>
      <c r="D985" s="25" t="str">
        <f t="shared" si="30"/>
        <v>201342</v>
      </c>
      <c r="E985" s="22" t="str">
        <f t="shared" ca="1" si="31"/>
        <v>201310</v>
      </c>
      <c r="F985" s="22">
        <v>2013</v>
      </c>
    </row>
    <row r="986" spans="1:6" ht="15.75">
      <c r="A986" s="22" t="s">
        <v>1441</v>
      </c>
      <c r="B986" s="26">
        <v>41567</v>
      </c>
      <c r="C986" s="27">
        <v>0</v>
      </c>
      <c r="D986" s="25" t="str">
        <f t="shared" si="30"/>
        <v>201342</v>
      </c>
      <c r="E986" s="22" t="str">
        <f t="shared" ca="1" si="31"/>
        <v>201310</v>
      </c>
      <c r="F986" s="22">
        <v>2013</v>
      </c>
    </row>
    <row r="987" spans="1:6" ht="15.75">
      <c r="A987" s="22" t="s">
        <v>1441</v>
      </c>
      <c r="B987" s="26">
        <v>41568</v>
      </c>
      <c r="C987" s="27">
        <v>0</v>
      </c>
      <c r="D987" s="25" t="str">
        <f t="shared" si="30"/>
        <v>201343</v>
      </c>
      <c r="E987" s="22" t="str">
        <f t="shared" ca="1" si="31"/>
        <v>201310</v>
      </c>
      <c r="F987" s="22">
        <v>2013</v>
      </c>
    </row>
    <row r="988" spans="1:6" ht="15.75">
      <c r="A988" s="22" t="s">
        <v>1441</v>
      </c>
      <c r="B988" s="26">
        <v>41569</v>
      </c>
      <c r="C988" s="27">
        <v>0</v>
      </c>
      <c r="D988" s="25" t="str">
        <f t="shared" si="30"/>
        <v>201343</v>
      </c>
      <c r="E988" s="22" t="str">
        <f t="shared" ca="1" si="31"/>
        <v>201310</v>
      </c>
      <c r="F988" s="22">
        <v>2013</v>
      </c>
    </row>
    <row r="989" spans="1:6" ht="15.75">
      <c r="A989" s="22" t="s">
        <v>1441</v>
      </c>
      <c r="B989" s="26">
        <v>41570</v>
      </c>
      <c r="C989" s="27">
        <v>0</v>
      </c>
      <c r="D989" s="25" t="str">
        <f t="shared" si="30"/>
        <v>201343</v>
      </c>
      <c r="E989" s="22" t="str">
        <f t="shared" ca="1" si="31"/>
        <v>201310</v>
      </c>
      <c r="F989" s="22">
        <v>2013</v>
      </c>
    </row>
    <row r="990" spans="1:6" ht="15.75">
      <c r="A990" s="22" t="s">
        <v>1441</v>
      </c>
      <c r="B990" s="26">
        <v>41571</v>
      </c>
      <c r="C990" s="27">
        <v>0</v>
      </c>
      <c r="D990" s="25" t="str">
        <f t="shared" si="30"/>
        <v>201343</v>
      </c>
      <c r="E990" s="22" t="str">
        <f t="shared" ca="1" si="31"/>
        <v>201310</v>
      </c>
      <c r="F990" s="22">
        <v>2013</v>
      </c>
    </row>
    <row r="991" spans="1:6" ht="15.75">
      <c r="A991" s="22" t="s">
        <v>1441</v>
      </c>
      <c r="B991" s="26">
        <v>41572</v>
      </c>
      <c r="C991" s="27">
        <v>0</v>
      </c>
      <c r="D991" s="25" t="str">
        <f t="shared" si="30"/>
        <v>201343</v>
      </c>
      <c r="E991" s="22" t="str">
        <f t="shared" ca="1" si="31"/>
        <v>201310</v>
      </c>
      <c r="F991" s="22">
        <v>2013</v>
      </c>
    </row>
    <row r="992" spans="1:6" ht="15.75">
      <c r="A992" s="22" t="s">
        <v>1441</v>
      </c>
      <c r="B992" s="26">
        <v>41573</v>
      </c>
      <c r="C992" s="27">
        <v>0</v>
      </c>
      <c r="D992" s="25" t="str">
        <f t="shared" si="30"/>
        <v>201343</v>
      </c>
      <c r="E992" s="22" t="str">
        <f t="shared" ca="1" si="31"/>
        <v>201310</v>
      </c>
      <c r="F992" s="22">
        <v>2013</v>
      </c>
    </row>
    <row r="993" spans="1:6" ht="15.75">
      <c r="A993" s="22" t="s">
        <v>1441</v>
      </c>
      <c r="B993" s="26">
        <v>41574</v>
      </c>
      <c r="C993" s="27">
        <v>0</v>
      </c>
      <c r="D993" s="25" t="str">
        <f t="shared" si="30"/>
        <v>201343</v>
      </c>
      <c r="E993" s="22" t="str">
        <f t="shared" ca="1" si="31"/>
        <v>201310</v>
      </c>
      <c r="F993" s="22">
        <v>2013</v>
      </c>
    </row>
    <row r="994" spans="1:6" ht="15.75">
      <c r="A994" s="22" t="s">
        <v>1441</v>
      </c>
      <c r="B994" s="26">
        <v>41575</v>
      </c>
      <c r="C994" s="27">
        <v>0</v>
      </c>
      <c r="D994" s="25" t="str">
        <f t="shared" si="30"/>
        <v>201344</v>
      </c>
      <c r="E994" s="22" t="str">
        <f t="shared" ca="1" si="31"/>
        <v>201310</v>
      </c>
      <c r="F994" s="22">
        <v>2013</v>
      </c>
    </row>
    <row r="995" spans="1:6" ht="15.75">
      <c r="A995" s="22" t="s">
        <v>1441</v>
      </c>
      <c r="B995" s="26">
        <v>41576</v>
      </c>
      <c r="C995" s="27">
        <v>0</v>
      </c>
      <c r="D995" s="25" t="str">
        <f t="shared" si="30"/>
        <v>201344</v>
      </c>
      <c r="E995" s="22" t="str">
        <f t="shared" ca="1" si="31"/>
        <v>201310</v>
      </c>
      <c r="F995" s="22">
        <v>2013</v>
      </c>
    </row>
    <row r="996" spans="1:6" ht="15.75">
      <c r="A996" s="22" t="s">
        <v>1441</v>
      </c>
      <c r="B996" s="26">
        <v>41577</v>
      </c>
      <c r="C996" s="27">
        <v>0</v>
      </c>
      <c r="D996" s="25" t="str">
        <f t="shared" si="30"/>
        <v>201344</v>
      </c>
      <c r="E996" s="22" t="str">
        <f t="shared" ca="1" si="31"/>
        <v>201310</v>
      </c>
      <c r="F996" s="22">
        <v>2013</v>
      </c>
    </row>
    <row r="997" spans="1:6" ht="15.75">
      <c r="A997" s="22" t="s">
        <v>1441</v>
      </c>
      <c r="B997" s="26">
        <v>41578</v>
      </c>
      <c r="C997" s="27">
        <v>0</v>
      </c>
      <c r="D997" s="25" t="str">
        <f t="shared" si="30"/>
        <v>201344</v>
      </c>
      <c r="E997" s="22" t="str">
        <f t="shared" ca="1" si="31"/>
        <v>201310</v>
      </c>
      <c r="F997" s="22">
        <v>2013</v>
      </c>
    </row>
    <row r="998" spans="1:6" ht="15.75">
      <c r="A998" s="22" t="s">
        <v>1441</v>
      </c>
      <c r="B998" s="26">
        <v>41579</v>
      </c>
      <c r="C998" s="27">
        <v>0</v>
      </c>
      <c r="D998" s="25" t="str">
        <f t="shared" si="30"/>
        <v>201344</v>
      </c>
      <c r="E998" s="22" t="str">
        <f t="shared" ca="1" si="31"/>
        <v>201311</v>
      </c>
      <c r="F998" s="22">
        <v>2014</v>
      </c>
    </row>
    <row r="999" spans="1:6" ht="15.75">
      <c r="A999" s="22" t="s">
        <v>1441</v>
      </c>
      <c r="B999" s="26">
        <v>41580</v>
      </c>
      <c r="C999" s="27">
        <v>0</v>
      </c>
      <c r="D999" s="25" t="str">
        <f t="shared" si="30"/>
        <v>201344</v>
      </c>
      <c r="E999" s="22" t="str">
        <f t="shared" ca="1" si="31"/>
        <v>201311</v>
      </c>
      <c r="F999" s="22">
        <v>2014</v>
      </c>
    </row>
    <row r="1000" spans="1:6" ht="15.75">
      <c r="A1000" s="22" t="s">
        <v>1441</v>
      </c>
      <c r="B1000" s="26">
        <v>41581</v>
      </c>
      <c r="C1000" s="27">
        <v>0</v>
      </c>
      <c r="D1000" s="25" t="str">
        <f t="shared" si="30"/>
        <v>201344</v>
      </c>
      <c r="E1000" s="22" t="str">
        <f t="shared" ca="1" si="31"/>
        <v>201311</v>
      </c>
      <c r="F1000" s="22">
        <v>2014</v>
      </c>
    </row>
    <row r="1001" spans="1:6" ht="15.75">
      <c r="A1001" s="22" t="s">
        <v>1441</v>
      </c>
      <c r="B1001" s="26">
        <v>41582</v>
      </c>
      <c r="C1001" s="27">
        <v>0</v>
      </c>
      <c r="D1001" s="25" t="str">
        <f t="shared" si="30"/>
        <v>201345</v>
      </c>
      <c r="E1001" s="22" t="str">
        <f t="shared" ca="1" si="31"/>
        <v>201311</v>
      </c>
      <c r="F1001" s="22">
        <v>2014</v>
      </c>
    </row>
    <row r="1002" spans="1:6" ht="15.75">
      <c r="A1002" s="22" t="s">
        <v>1441</v>
      </c>
      <c r="B1002" s="26">
        <v>41583</v>
      </c>
      <c r="C1002" s="27">
        <v>0</v>
      </c>
      <c r="D1002" s="25" t="str">
        <f t="shared" si="30"/>
        <v>201345</v>
      </c>
      <c r="E1002" s="22" t="str">
        <f t="shared" ca="1" si="31"/>
        <v>201311</v>
      </c>
      <c r="F1002" s="22">
        <v>2014</v>
      </c>
    </row>
    <row r="1003" spans="1:6" ht="15.75">
      <c r="A1003" s="22" t="s">
        <v>1441</v>
      </c>
      <c r="B1003" s="26">
        <v>41584</v>
      </c>
      <c r="C1003" s="27">
        <v>0</v>
      </c>
      <c r="D1003" s="25" t="str">
        <f t="shared" si="30"/>
        <v>201345</v>
      </c>
      <c r="E1003" s="22" t="str">
        <f t="shared" ca="1" si="31"/>
        <v>201311</v>
      </c>
      <c r="F1003" s="22">
        <v>2014</v>
      </c>
    </row>
    <row r="1004" spans="1:6" ht="15.75">
      <c r="A1004" s="22" t="s">
        <v>1441</v>
      </c>
      <c r="B1004" s="26">
        <v>41585</v>
      </c>
      <c r="C1004" s="27">
        <v>0</v>
      </c>
      <c r="D1004" s="25" t="str">
        <f t="shared" si="30"/>
        <v>201345</v>
      </c>
      <c r="E1004" s="22" t="str">
        <f t="shared" ca="1" si="31"/>
        <v>201311</v>
      </c>
      <c r="F1004" s="22">
        <v>2014</v>
      </c>
    </row>
    <row r="1005" spans="1:6" ht="15.75">
      <c r="A1005" s="22" t="s">
        <v>1441</v>
      </c>
      <c r="B1005" s="26">
        <v>41586</v>
      </c>
      <c r="C1005" s="27">
        <v>0</v>
      </c>
      <c r="D1005" s="25" t="str">
        <f t="shared" si="30"/>
        <v>201345</v>
      </c>
      <c r="E1005" s="22" t="str">
        <f t="shared" ca="1" si="31"/>
        <v>201311</v>
      </c>
      <c r="F1005" s="22">
        <v>2014</v>
      </c>
    </row>
    <row r="1006" spans="1:6" ht="15.75">
      <c r="A1006" s="22" t="s">
        <v>1441</v>
      </c>
      <c r="B1006" s="26">
        <v>41587</v>
      </c>
      <c r="C1006" s="27">
        <v>0</v>
      </c>
      <c r="D1006" s="25" t="str">
        <f t="shared" si="30"/>
        <v>201345</v>
      </c>
      <c r="E1006" s="22" t="str">
        <f t="shared" ca="1" si="31"/>
        <v>201311</v>
      </c>
      <c r="F1006" s="22">
        <v>2014</v>
      </c>
    </row>
    <row r="1007" spans="1:6" ht="15.75">
      <c r="A1007" s="22" t="s">
        <v>1441</v>
      </c>
      <c r="B1007" s="26">
        <v>41588</v>
      </c>
      <c r="C1007" s="27">
        <v>0</v>
      </c>
      <c r="D1007" s="25" t="str">
        <f t="shared" si="30"/>
        <v>201345</v>
      </c>
      <c r="E1007" s="22" t="str">
        <f t="shared" ca="1" si="31"/>
        <v>201311</v>
      </c>
      <c r="F1007" s="22">
        <v>2014</v>
      </c>
    </row>
    <row r="1008" spans="1:6" ht="15.75">
      <c r="A1008" s="22" t="s">
        <v>1441</v>
      </c>
      <c r="B1008" s="26">
        <v>41589</v>
      </c>
      <c r="C1008" s="27">
        <v>0</v>
      </c>
      <c r="D1008" s="25" t="str">
        <f t="shared" si="30"/>
        <v>201346</v>
      </c>
      <c r="E1008" s="22" t="str">
        <f t="shared" ca="1" si="31"/>
        <v>201311</v>
      </c>
      <c r="F1008" s="22">
        <v>2014</v>
      </c>
    </row>
    <row r="1009" spans="1:6" ht="15.75">
      <c r="A1009" s="22" t="s">
        <v>1441</v>
      </c>
      <c r="B1009" s="26">
        <v>41590</v>
      </c>
      <c r="C1009" s="27">
        <v>0</v>
      </c>
      <c r="D1009" s="25" t="str">
        <f t="shared" si="30"/>
        <v>201346</v>
      </c>
      <c r="E1009" s="22" t="str">
        <f t="shared" ca="1" si="31"/>
        <v>201311</v>
      </c>
      <c r="F1009" s="22">
        <v>2014</v>
      </c>
    </row>
    <row r="1010" spans="1:6" ht="15.75">
      <c r="A1010" s="22" t="s">
        <v>1441</v>
      </c>
      <c r="B1010" s="26">
        <v>41591</v>
      </c>
      <c r="C1010" s="27">
        <v>0</v>
      </c>
      <c r="D1010" s="25" t="str">
        <f t="shared" si="30"/>
        <v>201346</v>
      </c>
      <c r="E1010" s="22" t="str">
        <f t="shared" ca="1" si="31"/>
        <v>201311</v>
      </c>
      <c r="F1010" s="22">
        <v>2014</v>
      </c>
    </row>
    <row r="1011" spans="1:6" ht="15.75">
      <c r="A1011" s="22" t="s">
        <v>1441</v>
      </c>
      <c r="B1011" s="26">
        <v>41592</v>
      </c>
      <c r="C1011" s="27">
        <v>0</v>
      </c>
      <c r="D1011" s="25" t="str">
        <f t="shared" si="30"/>
        <v>201346</v>
      </c>
      <c r="E1011" s="22" t="str">
        <f t="shared" ca="1" si="31"/>
        <v>201311</v>
      </c>
      <c r="F1011" s="22">
        <v>2014</v>
      </c>
    </row>
    <row r="1012" spans="1:6" ht="15.75">
      <c r="A1012" s="22" t="s">
        <v>1441</v>
      </c>
      <c r="B1012" s="26">
        <v>41593</v>
      </c>
      <c r="C1012" s="27">
        <v>0</v>
      </c>
      <c r="D1012" s="25" t="str">
        <f t="shared" si="30"/>
        <v>201346</v>
      </c>
      <c r="E1012" s="22" t="str">
        <f t="shared" ca="1" si="31"/>
        <v>201311</v>
      </c>
      <c r="F1012" s="22">
        <v>2014</v>
      </c>
    </row>
    <row r="1013" spans="1:6" ht="15.75">
      <c r="A1013" s="22" t="s">
        <v>1441</v>
      </c>
      <c r="B1013" s="26">
        <v>41594</v>
      </c>
      <c r="C1013" s="27">
        <v>0</v>
      </c>
      <c r="D1013" s="25" t="str">
        <f t="shared" si="30"/>
        <v>201346</v>
      </c>
      <c r="E1013" s="22" t="str">
        <f t="shared" ca="1" si="31"/>
        <v>201311</v>
      </c>
      <c r="F1013" s="22">
        <v>2014</v>
      </c>
    </row>
    <row r="1014" spans="1:6" ht="15.75">
      <c r="A1014" s="22" t="s">
        <v>1441</v>
      </c>
      <c r="B1014" s="26">
        <v>41595</v>
      </c>
      <c r="C1014" s="27">
        <v>0</v>
      </c>
      <c r="D1014" s="25" t="str">
        <f t="shared" si="30"/>
        <v>201346</v>
      </c>
      <c r="E1014" s="22" t="str">
        <f t="shared" ca="1" si="31"/>
        <v>201311</v>
      </c>
      <c r="F1014" s="22">
        <v>2014</v>
      </c>
    </row>
    <row r="1015" spans="1:6" ht="15.75">
      <c r="A1015" s="22" t="s">
        <v>1441</v>
      </c>
      <c r="B1015" s="26">
        <v>41596</v>
      </c>
      <c r="C1015" s="27">
        <v>0</v>
      </c>
      <c r="D1015" s="25" t="str">
        <f t="shared" si="30"/>
        <v>201347</v>
      </c>
      <c r="E1015" s="22" t="str">
        <f t="shared" ca="1" si="31"/>
        <v>201311</v>
      </c>
      <c r="F1015" s="22">
        <v>2014</v>
      </c>
    </row>
    <row r="1016" spans="1:6" ht="15.75">
      <c r="A1016" s="22" t="s">
        <v>1441</v>
      </c>
      <c r="B1016" s="26">
        <v>41597</v>
      </c>
      <c r="C1016" s="27">
        <v>0</v>
      </c>
      <c r="D1016" s="25" t="str">
        <f t="shared" si="30"/>
        <v>201347</v>
      </c>
      <c r="E1016" s="22" t="str">
        <f t="shared" ca="1" si="31"/>
        <v>201311</v>
      </c>
      <c r="F1016" s="22">
        <v>2014</v>
      </c>
    </row>
    <row r="1017" spans="1:6" ht="15.75">
      <c r="A1017" s="22" t="s">
        <v>1441</v>
      </c>
      <c r="B1017" s="26">
        <v>41598</v>
      </c>
      <c r="C1017" s="27">
        <v>0</v>
      </c>
      <c r="D1017" s="25" t="str">
        <f t="shared" si="30"/>
        <v>201347</v>
      </c>
      <c r="E1017" s="22" t="str">
        <f t="shared" ca="1" si="31"/>
        <v>201311</v>
      </c>
      <c r="F1017" s="22">
        <v>2014</v>
      </c>
    </row>
    <row r="1018" spans="1:6" ht="15.75">
      <c r="A1018" s="22" t="s">
        <v>1441</v>
      </c>
      <c r="B1018" s="26">
        <v>41599</v>
      </c>
      <c r="C1018" s="27">
        <v>0</v>
      </c>
      <c r="D1018" s="25" t="str">
        <f t="shared" si="30"/>
        <v>201347</v>
      </c>
      <c r="E1018" s="22" t="str">
        <f t="shared" ca="1" si="31"/>
        <v>201311</v>
      </c>
      <c r="F1018" s="22">
        <v>2014</v>
      </c>
    </row>
    <row r="1019" spans="1:6" ht="15.75">
      <c r="A1019" s="22" t="s">
        <v>1441</v>
      </c>
      <c r="B1019" s="26">
        <v>41600</v>
      </c>
      <c r="C1019" s="27">
        <v>0</v>
      </c>
      <c r="D1019" s="25" t="str">
        <f t="shared" si="30"/>
        <v>201347</v>
      </c>
      <c r="E1019" s="22" t="str">
        <f t="shared" ca="1" si="31"/>
        <v>201311</v>
      </c>
      <c r="F1019" s="22">
        <v>2014</v>
      </c>
    </row>
    <row r="1020" spans="1:6" ht="15.75">
      <c r="A1020" s="22" t="s">
        <v>1441</v>
      </c>
      <c r="B1020" s="26">
        <v>41601</v>
      </c>
      <c r="C1020" s="27">
        <v>0</v>
      </c>
      <c r="D1020" s="25" t="str">
        <f t="shared" si="30"/>
        <v>201347</v>
      </c>
      <c r="E1020" s="22" t="str">
        <f t="shared" ca="1" si="31"/>
        <v>201311</v>
      </c>
      <c r="F1020" s="22">
        <v>2014</v>
      </c>
    </row>
    <row r="1021" spans="1:6" ht="15.75">
      <c r="A1021" s="22" t="s">
        <v>1441</v>
      </c>
      <c r="B1021" s="26">
        <v>41602</v>
      </c>
      <c r="C1021" s="27">
        <v>0</v>
      </c>
      <c r="D1021" s="25" t="str">
        <f t="shared" si="30"/>
        <v>201347</v>
      </c>
      <c r="E1021" s="22" t="str">
        <f t="shared" ca="1" si="31"/>
        <v>201311</v>
      </c>
      <c r="F1021" s="22">
        <v>2014</v>
      </c>
    </row>
    <row r="1022" spans="1:6" ht="15.75">
      <c r="A1022" s="22" t="s">
        <v>1441</v>
      </c>
      <c r="B1022" s="26">
        <v>41603</v>
      </c>
      <c r="C1022" s="27">
        <v>0</v>
      </c>
      <c r="D1022" s="25" t="str">
        <f t="shared" si="30"/>
        <v>201348</v>
      </c>
      <c r="E1022" s="22" t="str">
        <f t="shared" ca="1" si="31"/>
        <v>201311</v>
      </c>
      <c r="F1022" s="22">
        <v>2014</v>
      </c>
    </row>
    <row r="1023" spans="1:6" ht="15.75">
      <c r="A1023" s="22" t="s">
        <v>1441</v>
      </c>
      <c r="B1023" s="26">
        <v>41604</v>
      </c>
      <c r="C1023" s="27">
        <v>0</v>
      </c>
      <c r="D1023" s="25" t="str">
        <f t="shared" si="30"/>
        <v>201348</v>
      </c>
      <c r="E1023" s="22" t="str">
        <f t="shared" ca="1" si="31"/>
        <v>201311</v>
      </c>
      <c r="F1023" s="22">
        <v>2014</v>
      </c>
    </row>
    <row r="1024" spans="1:6" ht="15.75">
      <c r="A1024" s="22" t="s">
        <v>1441</v>
      </c>
      <c r="B1024" s="26">
        <v>41605</v>
      </c>
      <c r="C1024" s="27">
        <v>0</v>
      </c>
      <c r="D1024" s="25" t="str">
        <f t="shared" si="30"/>
        <v>201348</v>
      </c>
      <c r="E1024" s="22" t="str">
        <f t="shared" ca="1" si="31"/>
        <v>201311</v>
      </c>
      <c r="F1024" s="22">
        <v>2014</v>
      </c>
    </row>
    <row r="1025" spans="1:6" ht="15.75">
      <c r="A1025" s="22" t="s">
        <v>1441</v>
      </c>
      <c r="B1025" s="26">
        <v>41606</v>
      </c>
      <c r="C1025" s="27">
        <v>0</v>
      </c>
      <c r="D1025" s="25" t="str">
        <f t="shared" si="30"/>
        <v>201348</v>
      </c>
      <c r="E1025" s="22" t="str">
        <f t="shared" ca="1" si="31"/>
        <v>201311</v>
      </c>
      <c r="F1025" s="22">
        <v>2014</v>
      </c>
    </row>
    <row r="1026" spans="1:6" ht="15.75">
      <c r="A1026" s="22" t="s">
        <v>1441</v>
      </c>
      <c r="B1026" s="26">
        <v>41607</v>
      </c>
      <c r="C1026" s="27">
        <v>0</v>
      </c>
      <c r="D1026" s="25" t="str">
        <f t="shared" si="30"/>
        <v>201348</v>
      </c>
      <c r="E1026" s="22" t="str">
        <f t="shared" ca="1" si="31"/>
        <v>201311</v>
      </c>
      <c r="F1026" s="22">
        <v>2014</v>
      </c>
    </row>
    <row r="1027" spans="1:6" ht="15.75">
      <c r="A1027" s="22" t="s">
        <v>1441</v>
      </c>
      <c r="B1027" s="26">
        <v>41608</v>
      </c>
      <c r="C1027" s="27">
        <v>0</v>
      </c>
      <c r="D1027" s="25" t="str">
        <f t="shared" ref="D1027:D1090" si="32">CONCATENATE(YEAR(B1027-WEEKDAY(B1027,3)+3),TEXT(WEEKNUM(B1027,21),"00"))</f>
        <v>201348</v>
      </c>
      <c r="E1027" s="22" t="str">
        <f t="shared" ref="E1027:E1090" ca="1" si="33">IF(
  AND(
    YEAR(B1027)=YEAR(TODAY())-1,
    MONTH(B1027)=MONTH(TODAY()),
    DAY(B1027)&gt;DAY($H$2)
  ),
  0,
  CONCATENATE(YEAR(B1027),TEXT(MONTH(B1027),"00"))
)</f>
        <v>201311</v>
      </c>
      <c r="F1027" s="22">
        <v>2014</v>
      </c>
    </row>
    <row r="1028" spans="1:6" ht="15.75">
      <c r="A1028" s="22" t="s">
        <v>1441</v>
      </c>
      <c r="B1028" s="26">
        <v>41609</v>
      </c>
      <c r="C1028" s="27">
        <v>0</v>
      </c>
      <c r="D1028" s="25" t="str">
        <f t="shared" si="32"/>
        <v>201348</v>
      </c>
      <c r="E1028" s="22" t="str">
        <f t="shared" ca="1" si="33"/>
        <v>201312</v>
      </c>
      <c r="F1028" s="22">
        <v>2014</v>
      </c>
    </row>
    <row r="1029" spans="1:6" ht="15.75">
      <c r="A1029" s="22" t="s">
        <v>1441</v>
      </c>
      <c r="B1029" s="26">
        <v>41610</v>
      </c>
      <c r="C1029" s="27">
        <v>0</v>
      </c>
      <c r="D1029" s="25" t="str">
        <f t="shared" si="32"/>
        <v>201349</v>
      </c>
      <c r="E1029" s="22" t="str">
        <f t="shared" ca="1" si="33"/>
        <v>201312</v>
      </c>
      <c r="F1029" s="22">
        <v>2014</v>
      </c>
    </row>
    <row r="1030" spans="1:6" ht="15.75">
      <c r="A1030" s="22" t="s">
        <v>1441</v>
      </c>
      <c r="B1030" s="26">
        <v>41611</v>
      </c>
      <c r="C1030" s="27">
        <v>0</v>
      </c>
      <c r="D1030" s="25" t="str">
        <f t="shared" si="32"/>
        <v>201349</v>
      </c>
      <c r="E1030" s="22" t="str">
        <f t="shared" ca="1" si="33"/>
        <v>201312</v>
      </c>
      <c r="F1030" s="22">
        <v>2014</v>
      </c>
    </row>
    <row r="1031" spans="1:6" ht="15.75">
      <c r="A1031" s="22" t="s">
        <v>1441</v>
      </c>
      <c r="B1031" s="26">
        <v>41612</v>
      </c>
      <c r="C1031" s="27">
        <v>0</v>
      </c>
      <c r="D1031" s="25" t="str">
        <f t="shared" si="32"/>
        <v>201349</v>
      </c>
      <c r="E1031" s="22" t="str">
        <f t="shared" ca="1" si="33"/>
        <v>201312</v>
      </c>
      <c r="F1031" s="22">
        <v>2014</v>
      </c>
    </row>
    <row r="1032" spans="1:6" ht="15.75">
      <c r="A1032" s="22" t="s">
        <v>1441</v>
      </c>
      <c r="B1032" s="26">
        <v>41613</v>
      </c>
      <c r="C1032" s="27">
        <v>0</v>
      </c>
      <c r="D1032" s="25" t="str">
        <f t="shared" si="32"/>
        <v>201349</v>
      </c>
      <c r="E1032" s="22" t="str">
        <f t="shared" ca="1" si="33"/>
        <v>201312</v>
      </c>
      <c r="F1032" s="22">
        <v>2014</v>
      </c>
    </row>
    <row r="1033" spans="1:6" ht="15.75">
      <c r="A1033" s="22" t="s">
        <v>1441</v>
      </c>
      <c r="B1033" s="26">
        <v>41614</v>
      </c>
      <c r="C1033" s="27">
        <v>0</v>
      </c>
      <c r="D1033" s="25" t="str">
        <f t="shared" si="32"/>
        <v>201349</v>
      </c>
      <c r="E1033" s="22" t="str">
        <f t="shared" ca="1" si="33"/>
        <v>201312</v>
      </c>
      <c r="F1033" s="22">
        <v>2014</v>
      </c>
    </row>
    <row r="1034" spans="1:6" ht="15.75">
      <c r="A1034" s="22" t="s">
        <v>1441</v>
      </c>
      <c r="B1034" s="26">
        <v>41615</v>
      </c>
      <c r="C1034" s="27">
        <v>0</v>
      </c>
      <c r="D1034" s="25" t="str">
        <f t="shared" si="32"/>
        <v>201349</v>
      </c>
      <c r="E1034" s="22" t="str">
        <f t="shared" ca="1" si="33"/>
        <v>201312</v>
      </c>
      <c r="F1034" s="22">
        <v>2014</v>
      </c>
    </row>
    <row r="1035" spans="1:6" ht="15.75">
      <c r="A1035" s="22" t="s">
        <v>1441</v>
      </c>
      <c r="B1035" s="26">
        <v>41616</v>
      </c>
      <c r="C1035" s="27">
        <v>0</v>
      </c>
      <c r="D1035" s="25" t="str">
        <f t="shared" si="32"/>
        <v>201349</v>
      </c>
      <c r="E1035" s="22" t="str">
        <f t="shared" ca="1" si="33"/>
        <v>201312</v>
      </c>
      <c r="F1035" s="22">
        <v>2014</v>
      </c>
    </row>
    <row r="1036" spans="1:6" ht="15.75">
      <c r="A1036" s="22" t="s">
        <v>1441</v>
      </c>
      <c r="B1036" s="26">
        <v>41617</v>
      </c>
      <c r="C1036" s="27">
        <v>0</v>
      </c>
      <c r="D1036" s="25" t="str">
        <f t="shared" si="32"/>
        <v>201350</v>
      </c>
      <c r="E1036" s="22" t="str">
        <f t="shared" ca="1" si="33"/>
        <v>201312</v>
      </c>
      <c r="F1036" s="22">
        <v>2014</v>
      </c>
    </row>
    <row r="1037" spans="1:6" ht="15.75">
      <c r="A1037" s="22" t="s">
        <v>1441</v>
      </c>
      <c r="B1037" s="26">
        <v>41618</v>
      </c>
      <c r="C1037" s="27">
        <v>0</v>
      </c>
      <c r="D1037" s="25" t="str">
        <f t="shared" si="32"/>
        <v>201350</v>
      </c>
      <c r="E1037" s="22" t="str">
        <f t="shared" ca="1" si="33"/>
        <v>201312</v>
      </c>
      <c r="F1037" s="22">
        <v>2014</v>
      </c>
    </row>
    <row r="1038" spans="1:6" ht="15.75">
      <c r="A1038" s="22" t="s">
        <v>1441</v>
      </c>
      <c r="B1038" s="26">
        <v>41619</v>
      </c>
      <c r="C1038" s="27">
        <v>0</v>
      </c>
      <c r="D1038" s="25" t="str">
        <f t="shared" si="32"/>
        <v>201350</v>
      </c>
      <c r="E1038" s="22" t="str">
        <f t="shared" ca="1" si="33"/>
        <v>201312</v>
      </c>
      <c r="F1038" s="22">
        <v>2014</v>
      </c>
    </row>
    <row r="1039" spans="1:6" ht="15.75">
      <c r="A1039" s="22" t="s">
        <v>1441</v>
      </c>
      <c r="B1039" s="26">
        <v>41620</v>
      </c>
      <c r="C1039" s="27">
        <v>0</v>
      </c>
      <c r="D1039" s="25" t="str">
        <f t="shared" si="32"/>
        <v>201350</v>
      </c>
      <c r="E1039" s="22" t="str">
        <f t="shared" ca="1" si="33"/>
        <v>201312</v>
      </c>
      <c r="F1039" s="22">
        <v>2014</v>
      </c>
    </row>
    <row r="1040" spans="1:6" ht="15.75">
      <c r="A1040" s="22" t="s">
        <v>1441</v>
      </c>
      <c r="B1040" s="26">
        <v>41621</v>
      </c>
      <c r="C1040" s="27">
        <v>0</v>
      </c>
      <c r="D1040" s="25" t="str">
        <f t="shared" si="32"/>
        <v>201350</v>
      </c>
      <c r="E1040" s="22" t="str">
        <f t="shared" ca="1" si="33"/>
        <v>201312</v>
      </c>
      <c r="F1040" s="22">
        <v>2014</v>
      </c>
    </row>
    <row r="1041" spans="1:6" ht="15.75">
      <c r="A1041" s="22" t="s">
        <v>1441</v>
      </c>
      <c r="B1041" s="26">
        <v>41622</v>
      </c>
      <c r="C1041" s="27">
        <v>0</v>
      </c>
      <c r="D1041" s="25" t="str">
        <f t="shared" si="32"/>
        <v>201350</v>
      </c>
      <c r="E1041" s="22" t="str">
        <f t="shared" ca="1" si="33"/>
        <v>201312</v>
      </c>
      <c r="F1041" s="22">
        <v>2014</v>
      </c>
    </row>
    <row r="1042" spans="1:6" ht="15.75">
      <c r="A1042" s="22" t="s">
        <v>1441</v>
      </c>
      <c r="B1042" s="26">
        <v>41623</v>
      </c>
      <c r="C1042" s="27">
        <v>0</v>
      </c>
      <c r="D1042" s="25" t="str">
        <f t="shared" si="32"/>
        <v>201350</v>
      </c>
      <c r="E1042" s="22" t="str">
        <f t="shared" ca="1" si="33"/>
        <v>201312</v>
      </c>
      <c r="F1042" s="22">
        <v>2014</v>
      </c>
    </row>
    <row r="1043" spans="1:6" ht="15.75">
      <c r="A1043" s="22" t="s">
        <v>1441</v>
      </c>
      <c r="B1043" s="26">
        <v>41624</v>
      </c>
      <c r="C1043" s="27">
        <v>0</v>
      </c>
      <c r="D1043" s="25" t="str">
        <f t="shared" si="32"/>
        <v>201351</v>
      </c>
      <c r="E1043" s="22" t="str">
        <f t="shared" ca="1" si="33"/>
        <v>201312</v>
      </c>
      <c r="F1043" s="22">
        <v>2014</v>
      </c>
    </row>
    <row r="1044" spans="1:6" ht="15.75">
      <c r="A1044" s="22" t="s">
        <v>1441</v>
      </c>
      <c r="B1044" s="26">
        <v>41625</v>
      </c>
      <c r="C1044" s="27">
        <v>0</v>
      </c>
      <c r="D1044" s="25" t="str">
        <f t="shared" si="32"/>
        <v>201351</v>
      </c>
      <c r="E1044" s="22" t="str">
        <f t="shared" ca="1" si="33"/>
        <v>201312</v>
      </c>
      <c r="F1044" s="22">
        <v>2014</v>
      </c>
    </row>
    <row r="1045" spans="1:6" ht="15.75">
      <c r="A1045" s="22" t="s">
        <v>1441</v>
      </c>
      <c r="B1045" s="26">
        <v>41626</v>
      </c>
      <c r="C1045" s="27">
        <v>0</v>
      </c>
      <c r="D1045" s="25" t="str">
        <f t="shared" si="32"/>
        <v>201351</v>
      </c>
      <c r="E1045" s="22" t="str">
        <f t="shared" ca="1" si="33"/>
        <v>201312</v>
      </c>
      <c r="F1045" s="22">
        <v>2014</v>
      </c>
    </row>
    <row r="1046" spans="1:6" ht="15.75">
      <c r="A1046" s="22" t="s">
        <v>1441</v>
      </c>
      <c r="B1046" s="26">
        <v>41627</v>
      </c>
      <c r="C1046" s="27">
        <v>0</v>
      </c>
      <c r="D1046" s="25" t="str">
        <f t="shared" si="32"/>
        <v>201351</v>
      </c>
      <c r="E1046" s="22" t="str">
        <f t="shared" ca="1" si="33"/>
        <v>201312</v>
      </c>
      <c r="F1046" s="22">
        <v>2014</v>
      </c>
    </row>
    <row r="1047" spans="1:6" ht="15.75">
      <c r="A1047" s="22" t="s">
        <v>1441</v>
      </c>
      <c r="B1047" s="26">
        <v>41628</v>
      </c>
      <c r="C1047" s="27">
        <v>0</v>
      </c>
      <c r="D1047" s="25" t="str">
        <f t="shared" si="32"/>
        <v>201351</v>
      </c>
      <c r="E1047" s="22" t="str">
        <f t="shared" ca="1" si="33"/>
        <v>201312</v>
      </c>
      <c r="F1047" s="22">
        <v>2014</v>
      </c>
    </row>
    <row r="1048" spans="1:6" ht="15.75">
      <c r="A1048" s="22" t="s">
        <v>1441</v>
      </c>
      <c r="B1048" s="26">
        <v>41629</v>
      </c>
      <c r="C1048" s="27">
        <v>0</v>
      </c>
      <c r="D1048" s="25" t="str">
        <f t="shared" si="32"/>
        <v>201351</v>
      </c>
      <c r="E1048" s="22" t="str">
        <f t="shared" ca="1" si="33"/>
        <v>201312</v>
      </c>
      <c r="F1048" s="22">
        <v>2014</v>
      </c>
    </row>
    <row r="1049" spans="1:6" ht="15.75">
      <c r="A1049" s="22" t="s">
        <v>1441</v>
      </c>
      <c r="B1049" s="26">
        <v>41630</v>
      </c>
      <c r="C1049" s="27">
        <v>0</v>
      </c>
      <c r="D1049" s="25" t="str">
        <f t="shared" si="32"/>
        <v>201351</v>
      </c>
      <c r="E1049" s="22" t="str">
        <f t="shared" ca="1" si="33"/>
        <v>201312</v>
      </c>
      <c r="F1049" s="22">
        <v>2014</v>
      </c>
    </row>
    <row r="1050" spans="1:6" ht="15.75">
      <c r="A1050" s="22" t="s">
        <v>1441</v>
      </c>
      <c r="B1050" s="26">
        <v>41631</v>
      </c>
      <c r="C1050" s="27">
        <v>0</v>
      </c>
      <c r="D1050" s="25" t="str">
        <f t="shared" si="32"/>
        <v>201352</v>
      </c>
      <c r="E1050" s="22" t="str">
        <f t="shared" ca="1" si="33"/>
        <v>201312</v>
      </c>
      <c r="F1050" s="22">
        <v>2014</v>
      </c>
    </row>
    <row r="1051" spans="1:6" ht="15.75">
      <c r="A1051" s="22" t="s">
        <v>1441</v>
      </c>
      <c r="B1051" s="26">
        <v>41632</v>
      </c>
      <c r="C1051" s="27">
        <v>0</v>
      </c>
      <c r="D1051" s="25" t="str">
        <f t="shared" si="32"/>
        <v>201352</v>
      </c>
      <c r="E1051" s="22" t="str">
        <f t="shared" ca="1" si="33"/>
        <v>201312</v>
      </c>
      <c r="F1051" s="22">
        <v>2014</v>
      </c>
    </row>
    <row r="1052" spans="1:6" ht="15.75">
      <c r="A1052" s="22" t="s">
        <v>1441</v>
      </c>
      <c r="B1052" s="26">
        <v>41633</v>
      </c>
      <c r="C1052" s="27">
        <v>0</v>
      </c>
      <c r="D1052" s="25" t="str">
        <f t="shared" si="32"/>
        <v>201352</v>
      </c>
      <c r="E1052" s="22" t="str">
        <f t="shared" ca="1" si="33"/>
        <v>201312</v>
      </c>
      <c r="F1052" s="22">
        <v>2014</v>
      </c>
    </row>
    <row r="1053" spans="1:6" ht="15.75">
      <c r="A1053" s="22" t="s">
        <v>1441</v>
      </c>
      <c r="B1053" s="26">
        <v>41634</v>
      </c>
      <c r="C1053" s="27">
        <v>0</v>
      </c>
      <c r="D1053" s="25" t="str">
        <f t="shared" si="32"/>
        <v>201352</v>
      </c>
      <c r="E1053" s="22" t="str">
        <f t="shared" ca="1" si="33"/>
        <v>201312</v>
      </c>
      <c r="F1053" s="22">
        <v>2014</v>
      </c>
    </row>
    <row r="1054" spans="1:6" ht="15.75">
      <c r="A1054" s="22" t="s">
        <v>1441</v>
      </c>
      <c r="B1054" s="26">
        <v>41635</v>
      </c>
      <c r="C1054" s="27">
        <v>0</v>
      </c>
      <c r="D1054" s="25" t="str">
        <f t="shared" si="32"/>
        <v>201352</v>
      </c>
      <c r="E1054" s="22" t="str">
        <f t="shared" ca="1" si="33"/>
        <v>201312</v>
      </c>
      <c r="F1054" s="22">
        <v>2014</v>
      </c>
    </row>
    <row r="1055" spans="1:6" ht="15.75">
      <c r="A1055" s="22" t="s">
        <v>1441</v>
      </c>
      <c r="B1055" s="26">
        <v>41636</v>
      </c>
      <c r="C1055" s="27">
        <v>0</v>
      </c>
      <c r="D1055" s="25" t="str">
        <f t="shared" si="32"/>
        <v>201352</v>
      </c>
      <c r="E1055" s="22" t="str">
        <f t="shared" ca="1" si="33"/>
        <v>201312</v>
      </c>
      <c r="F1055" s="22">
        <v>2014</v>
      </c>
    </row>
    <row r="1056" spans="1:6" ht="15.75">
      <c r="A1056" s="22" t="s">
        <v>1441</v>
      </c>
      <c r="B1056" s="26">
        <v>41637</v>
      </c>
      <c r="C1056" s="27">
        <v>0</v>
      </c>
      <c r="D1056" s="25" t="str">
        <f t="shared" si="32"/>
        <v>201352</v>
      </c>
      <c r="E1056" s="22" t="str">
        <f t="shared" ca="1" si="33"/>
        <v>201312</v>
      </c>
      <c r="F1056" s="22">
        <v>2014</v>
      </c>
    </row>
    <row r="1057" spans="1:6" ht="15.75">
      <c r="A1057" s="22" t="s">
        <v>1441</v>
      </c>
      <c r="B1057" s="26">
        <v>41638</v>
      </c>
      <c r="C1057" s="27">
        <v>0</v>
      </c>
      <c r="D1057" s="25" t="str">
        <f t="shared" si="32"/>
        <v>201401</v>
      </c>
      <c r="E1057" s="22" t="str">
        <f t="shared" ca="1" si="33"/>
        <v>201312</v>
      </c>
      <c r="F1057" s="22">
        <v>2014</v>
      </c>
    </row>
    <row r="1058" spans="1:6" ht="15.75">
      <c r="A1058" s="22" t="s">
        <v>1441</v>
      </c>
      <c r="B1058" s="26">
        <v>41639</v>
      </c>
      <c r="C1058" s="27">
        <v>0</v>
      </c>
      <c r="D1058" s="25" t="str">
        <f t="shared" si="32"/>
        <v>201401</v>
      </c>
      <c r="E1058" s="22" t="str">
        <f t="shared" ca="1" si="33"/>
        <v>201312</v>
      </c>
      <c r="F1058" s="22">
        <v>2014</v>
      </c>
    </row>
    <row r="1059" spans="1:6" ht="15.75">
      <c r="A1059" s="22" t="s">
        <v>1441</v>
      </c>
      <c r="B1059" s="26">
        <v>41640</v>
      </c>
      <c r="C1059" s="27">
        <v>0</v>
      </c>
      <c r="D1059" s="25" t="str">
        <f t="shared" si="32"/>
        <v>201401</v>
      </c>
      <c r="E1059" s="22" t="str">
        <f t="shared" ca="1" si="33"/>
        <v>201401</v>
      </c>
      <c r="F1059" s="22">
        <v>2014</v>
      </c>
    </row>
    <row r="1060" spans="1:6" ht="15.75">
      <c r="A1060" s="22" t="s">
        <v>1441</v>
      </c>
      <c r="B1060" s="26">
        <v>41641</v>
      </c>
      <c r="C1060" s="27">
        <v>0</v>
      </c>
      <c r="D1060" s="25" t="str">
        <f t="shared" si="32"/>
        <v>201401</v>
      </c>
      <c r="E1060" s="22" t="str">
        <f t="shared" ca="1" si="33"/>
        <v>201401</v>
      </c>
      <c r="F1060" s="22">
        <v>2014</v>
      </c>
    </row>
    <row r="1061" spans="1:6" ht="15.75">
      <c r="A1061" s="22" t="s">
        <v>1441</v>
      </c>
      <c r="B1061" s="26">
        <v>41642</v>
      </c>
      <c r="C1061" s="27">
        <v>0</v>
      </c>
      <c r="D1061" s="25" t="str">
        <f t="shared" si="32"/>
        <v>201401</v>
      </c>
      <c r="E1061" s="22" t="str">
        <f t="shared" ca="1" si="33"/>
        <v>201401</v>
      </c>
      <c r="F1061" s="22">
        <v>2014</v>
      </c>
    </row>
    <row r="1062" spans="1:6" ht="15.75">
      <c r="A1062" s="22" t="s">
        <v>1441</v>
      </c>
      <c r="B1062" s="26">
        <v>41643</v>
      </c>
      <c r="C1062" s="27">
        <v>0</v>
      </c>
      <c r="D1062" s="25" t="str">
        <f t="shared" si="32"/>
        <v>201401</v>
      </c>
      <c r="E1062" s="22" t="str">
        <f t="shared" ca="1" si="33"/>
        <v>201401</v>
      </c>
      <c r="F1062" s="22">
        <v>2014</v>
      </c>
    </row>
    <row r="1063" spans="1:6" ht="15.75">
      <c r="A1063" s="22" t="s">
        <v>1441</v>
      </c>
      <c r="B1063" s="26">
        <v>41644</v>
      </c>
      <c r="C1063" s="27">
        <v>0</v>
      </c>
      <c r="D1063" s="25" t="str">
        <f t="shared" si="32"/>
        <v>201401</v>
      </c>
      <c r="E1063" s="22" t="str">
        <f t="shared" ca="1" si="33"/>
        <v>201401</v>
      </c>
      <c r="F1063" s="22">
        <v>2014</v>
      </c>
    </row>
    <row r="1064" spans="1:6" ht="15.75">
      <c r="A1064" s="22" t="s">
        <v>1441</v>
      </c>
      <c r="B1064" s="26">
        <v>41645</v>
      </c>
      <c r="C1064" s="27">
        <v>0</v>
      </c>
      <c r="D1064" s="25" t="str">
        <f t="shared" si="32"/>
        <v>201402</v>
      </c>
      <c r="E1064" s="22" t="str">
        <f t="shared" ca="1" si="33"/>
        <v>201401</v>
      </c>
      <c r="F1064" s="22">
        <v>2014</v>
      </c>
    </row>
    <row r="1065" spans="1:6" ht="15.75">
      <c r="A1065" s="22" t="s">
        <v>1441</v>
      </c>
      <c r="B1065" s="26">
        <v>41646</v>
      </c>
      <c r="C1065" s="27">
        <v>0</v>
      </c>
      <c r="D1065" s="25" t="str">
        <f t="shared" si="32"/>
        <v>201402</v>
      </c>
      <c r="E1065" s="22" t="str">
        <f t="shared" ca="1" si="33"/>
        <v>201401</v>
      </c>
      <c r="F1065" s="22">
        <v>2014</v>
      </c>
    </row>
    <row r="1066" spans="1:6" ht="15.75">
      <c r="A1066" s="22" t="s">
        <v>1441</v>
      </c>
      <c r="B1066" s="26">
        <v>41647</v>
      </c>
      <c r="C1066" s="27">
        <v>0</v>
      </c>
      <c r="D1066" s="25" t="str">
        <f t="shared" si="32"/>
        <v>201402</v>
      </c>
      <c r="E1066" s="22" t="str">
        <f t="shared" ca="1" si="33"/>
        <v>201401</v>
      </c>
      <c r="F1066" s="22">
        <v>2014</v>
      </c>
    </row>
    <row r="1067" spans="1:6" ht="15.75">
      <c r="A1067" s="22" t="s">
        <v>1441</v>
      </c>
      <c r="B1067" s="26">
        <v>41648</v>
      </c>
      <c r="C1067" s="27">
        <v>0</v>
      </c>
      <c r="D1067" s="25" t="str">
        <f t="shared" si="32"/>
        <v>201402</v>
      </c>
      <c r="E1067" s="22" t="str">
        <f t="shared" ca="1" si="33"/>
        <v>201401</v>
      </c>
      <c r="F1067" s="22">
        <v>2014</v>
      </c>
    </row>
    <row r="1068" spans="1:6" ht="15.75">
      <c r="A1068" s="22" t="s">
        <v>1441</v>
      </c>
      <c r="B1068" s="26">
        <v>41649</v>
      </c>
      <c r="C1068" s="27">
        <v>0</v>
      </c>
      <c r="D1068" s="25" t="str">
        <f t="shared" si="32"/>
        <v>201402</v>
      </c>
      <c r="E1068" s="22" t="str">
        <f t="shared" ca="1" si="33"/>
        <v>201401</v>
      </c>
      <c r="F1068" s="22">
        <v>2014</v>
      </c>
    </row>
    <row r="1069" spans="1:6" ht="15.75">
      <c r="A1069" s="22" t="s">
        <v>1441</v>
      </c>
      <c r="B1069" s="26">
        <v>41650</v>
      </c>
      <c r="C1069" s="27">
        <v>0</v>
      </c>
      <c r="D1069" s="25" t="str">
        <f t="shared" si="32"/>
        <v>201402</v>
      </c>
      <c r="E1069" s="22" t="str">
        <f t="shared" ca="1" si="33"/>
        <v>201401</v>
      </c>
      <c r="F1069" s="22">
        <v>2014</v>
      </c>
    </row>
    <row r="1070" spans="1:6" ht="15.75">
      <c r="A1070" s="22" t="s">
        <v>1441</v>
      </c>
      <c r="B1070" s="26">
        <v>41651</v>
      </c>
      <c r="C1070" s="27">
        <v>0</v>
      </c>
      <c r="D1070" s="25" t="str">
        <f t="shared" si="32"/>
        <v>201402</v>
      </c>
      <c r="E1070" s="22" t="str">
        <f t="shared" ca="1" si="33"/>
        <v>201401</v>
      </c>
      <c r="F1070" s="22">
        <v>2014</v>
      </c>
    </row>
    <row r="1071" spans="1:6" ht="15.75">
      <c r="A1071" s="22" t="s">
        <v>1441</v>
      </c>
      <c r="B1071" s="26">
        <v>41652</v>
      </c>
      <c r="C1071" s="27">
        <v>0</v>
      </c>
      <c r="D1071" s="25" t="str">
        <f t="shared" si="32"/>
        <v>201403</v>
      </c>
      <c r="E1071" s="22" t="str">
        <f t="shared" ca="1" si="33"/>
        <v>201401</v>
      </c>
      <c r="F1071" s="22">
        <v>2014</v>
      </c>
    </row>
    <row r="1072" spans="1:6" ht="15.75">
      <c r="A1072" s="22" t="s">
        <v>1441</v>
      </c>
      <c r="B1072" s="26">
        <v>41653</v>
      </c>
      <c r="C1072" s="27">
        <v>0</v>
      </c>
      <c r="D1072" s="25" t="str">
        <f t="shared" si="32"/>
        <v>201403</v>
      </c>
      <c r="E1072" s="22" t="str">
        <f t="shared" ca="1" si="33"/>
        <v>201401</v>
      </c>
      <c r="F1072" s="22">
        <v>2014</v>
      </c>
    </row>
    <row r="1073" spans="1:6" ht="15.75">
      <c r="A1073" s="22" t="s">
        <v>1441</v>
      </c>
      <c r="B1073" s="26">
        <v>41654</v>
      </c>
      <c r="C1073" s="27">
        <v>0</v>
      </c>
      <c r="D1073" s="25" t="str">
        <f t="shared" si="32"/>
        <v>201403</v>
      </c>
      <c r="E1073" s="22" t="str">
        <f t="shared" ca="1" si="33"/>
        <v>201401</v>
      </c>
      <c r="F1073" s="22">
        <v>2014</v>
      </c>
    </row>
    <row r="1074" spans="1:6" ht="15.75">
      <c r="A1074" s="22" t="s">
        <v>1441</v>
      </c>
      <c r="B1074" s="26">
        <v>41655</v>
      </c>
      <c r="C1074" s="27">
        <v>0</v>
      </c>
      <c r="D1074" s="25" t="str">
        <f t="shared" si="32"/>
        <v>201403</v>
      </c>
      <c r="E1074" s="22" t="str">
        <f t="shared" ca="1" si="33"/>
        <v>201401</v>
      </c>
      <c r="F1074" s="22">
        <v>2014</v>
      </c>
    </row>
    <row r="1075" spans="1:6" ht="15.75">
      <c r="A1075" s="22" t="s">
        <v>1441</v>
      </c>
      <c r="B1075" s="26">
        <v>41656</v>
      </c>
      <c r="C1075" s="27">
        <v>0</v>
      </c>
      <c r="D1075" s="25" t="str">
        <f t="shared" si="32"/>
        <v>201403</v>
      </c>
      <c r="E1075" s="22" t="str">
        <f t="shared" ca="1" si="33"/>
        <v>201401</v>
      </c>
      <c r="F1075" s="22">
        <v>2014</v>
      </c>
    </row>
    <row r="1076" spans="1:6" ht="15.75">
      <c r="A1076" s="22" t="s">
        <v>1441</v>
      </c>
      <c r="B1076" s="26">
        <v>41657</v>
      </c>
      <c r="C1076" s="27">
        <v>0</v>
      </c>
      <c r="D1076" s="25" t="str">
        <f t="shared" si="32"/>
        <v>201403</v>
      </c>
      <c r="E1076" s="22" t="str">
        <f t="shared" ca="1" si="33"/>
        <v>201401</v>
      </c>
      <c r="F1076" s="22">
        <v>2014</v>
      </c>
    </row>
    <row r="1077" spans="1:6" ht="15.75">
      <c r="A1077" s="22" t="s">
        <v>1441</v>
      </c>
      <c r="B1077" s="26">
        <v>41658</v>
      </c>
      <c r="C1077" s="27">
        <v>0</v>
      </c>
      <c r="D1077" s="25" t="str">
        <f t="shared" si="32"/>
        <v>201403</v>
      </c>
      <c r="E1077" s="22" t="str">
        <f t="shared" ca="1" si="33"/>
        <v>201401</v>
      </c>
      <c r="F1077" s="22">
        <v>2014</v>
      </c>
    </row>
    <row r="1078" spans="1:6" ht="15.75">
      <c r="A1078" s="22" t="s">
        <v>1441</v>
      </c>
      <c r="B1078" s="26">
        <v>41659</v>
      </c>
      <c r="C1078" s="27">
        <v>0</v>
      </c>
      <c r="D1078" s="25" t="str">
        <f t="shared" si="32"/>
        <v>201404</v>
      </c>
      <c r="E1078" s="22" t="str">
        <f t="shared" ca="1" si="33"/>
        <v>201401</v>
      </c>
      <c r="F1078" s="22">
        <v>2014</v>
      </c>
    </row>
    <row r="1079" spans="1:6" ht="15.75">
      <c r="A1079" s="22" t="s">
        <v>1441</v>
      </c>
      <c r="B1079" s="26">
        <v>41660</v>
      </c>
      <c r="C1079" s="27">
        <v>0</v>
      </c>
      <c r="D1079" s="25" t="str">
        <f t="shared" si="32"/>
        <v>201404</v>
      </c>
      <c r="E1079" s="22" t="str">
        <f t="shared" ca="1" si="33"/>
        <v>201401</v>
      </c>
      <c r="F1079" s="22">
        <v>2014</v>
      </c>
    </row>
    <row r="1080" spans="1:6" ht="15.75">
      <c r="A1080" s="22" t="s">
        <v>1441</v>
      </c>
      <c r="B1080" s="26">
        <v>41661</v>
      </c>
      <c r="C1080" s="27">
        <v>0</v>
      </c>
      <c r="D1080" s="25" t="str">
        <f t="shared" si="32"/>
        <v>201404</v>
      </c>
      <c r="E1080" s="22" t="str">
        <f t="shared" ca="1" si="33"/>
        <v>201401</v>
      </c>
      <c r="F1080" s="22">
        <v>2014</v>
      </c>
    </row>
    <row r="1081" spans="1:6" ht="15.75">
      <c r="A1081" s="22" t="s">
        <v>1441</v>
      </c>
      <c r="B1081" s="26">
        <v>41662</v>
      </c>
      <c r="C1081" s="27">
        <v>0</v>
      </c>
      <c r="D1081" s="25" t="str">
        <f t="shared" si="32"/>
        <v>201404</v>
      </c>
      <c r="E1081" s="22" t="str">
        <f t="shared" ca="1" si="33"/>
        <v>201401</v>
      </c>
      <c r="F1081" s="22">
        <v>2014</v>
      </c>
    </row>
    <row r="1082" spans="1:6" ht="15.75">
      <c r="A1082" s="22" t="s">
        <v>1441</v>
      </c>
      <c r="B1082" s="26">
        <v>41663</v>
      </c>
      <c r="C1082" s="27">
        <v>0</v>
      </c>
      <c r="D1082" s="25" t="str">
        <f t="shared" si="32"/>
        <v>201404</v>
      </c>
      <c r="E1082" s="22" t="str">
        <f t="shared" ca="1" si="33"/>
        <v>201401</v>
      </c>
      <c r="F1082" s="22">
        <v>2014</v>
      </c>
    </row>
    <row r="1083" spans="1:6" ht="15.75">
      <c r="A1083" s="22" t="s">
        <v>1441</v>
      </c>
      <c r="B1083" s="26">
        <v>41664</v>
      </c>
      <c r="C1083" s="27">
        <v>0</v>
      </c>
      <c r="D1083" s="25" t="str">
        <f t="shared" si="32"/>
        <v>201404</v>
      </c>
      <c r="E1083" s="22" t="str">
        <f t="shared" ca="1" si="33"/>
        <v>201401</v>
      </c>
      <c r="F1083" s="22">
        <v>2014</v>
      </c>
    </row>
    <row r="1084" spans="1:6" ht="15.75">
      <c r="A1084" s="22" t="s">
        <v>1441</v>
      </c>
      <c r="B1084" s="26">
        <v>41665</v>
      </c>
      <c r="C1084" s="27">
        <v>0</v>
      </c>
      <c r="D1084" s="25" t="str">
        <f t="shared" si="32"/>
        <v>201404</v>
      </c>
      <c r="E1084" s="22" t="str">
        <f t="shared" ca="1" si="33"/>
        <v>201401</v>
      </c>
      <c r="F1084" s="22">
        <v>2014</v>
      </c>
    </row>
    <row r="1085" spans="1:6" ht="15.75">
      <c r="A1085" s="22" t="s">
        <v>1441</v>
      </c>
      <c r="B1085" s="26">
        <v>41666</v>
      </c>
      <c r="C1085" s="27">
        <v>0</v>
      </c>
      <c r="D1085" s="25" t="str">
        <f t="shared" si="32"/>
        <v>201405</v>
      </c>
      <c r="E1085" s="22" t="str">
        <f t="shared" ca="1" si="33"/>
        <v>201401</v>
      </c>
      <c r="F1085" s="22">
        <v>2014</v>
      </c>
    </row>
    <row r="1086" spans="1:6" ht="15.75">
      <c r="A1086" s="22" t="s">
        <v>1441</v>
      </c>
      <c r="B1086" s="26">
        <v>41667</v>
      </c>
      <c r="C1086" s="27">
        <v>0</v>
      </c>
      <c r="D1086" s="25" t="str">
        <f t="shared" si="32"/>
        <v>201405</v>
      </c>
      <c r="E1086" s="22" t="str">
        <f t="shared" ca="1" si="33"/>
        <v>201401</v>
      </c>
      <c r="F1086" s="22">
        <v>2014</v>
      </c>
    </row>
    <row r="1087" spans="1:6" ht="15.75">
      <c r="A1087" s="22" t="s">
        <v>1441</v>
      </c>
      <c r="B1087" s="26">
        <v>41668</v>
      </c>
      <c r="C1087" s="27">
        <v>0</v>
      </c>
      <c r="D1087" s="25" t="str">
        <f t="shared" si="32"/>
        <v>201405</v>
      </c>
      <c r="E1087" s="22" t="str">
        <f t="shared" ca="1" si="33"/>
        <v>201401</v>
      </c>
      <c r="F1087" s="22">
        <v>2014</v>
      </c>
    </row>
    <row r="1088" spans="1:6" ht="15.75">
      <c r="A1088" s="22" t="s">
        <v>1441</v>
      </c>
      <c r="B1088" s="26">
        <v>41669</v>
      </c>
      <c r="C1088" s="27">
        <v>0</v>
      </c>
      <c r="D1088" s="25" t="str">
        <f t="shared" si="32"/>
        <v>201405</v>
      </c>
      <c r="E1088" s="22" t="str">
        <f t="shared" ca="1" si="33"/>
        <v>201401</v>
      </c>
      <c r="F1088" s="22">
        <v>2014</v>
      </c>
    </row>
    <row r="1089" spans="1:6" ht="15.75">
      <c r="A1089" s="22" t="s">
        <v>1441</v>
      </c>
      <c r="B1089" s="26">
        <v>41670</v>
      </c>
      <c r="C1089" s="27">
        <v>5.81</v>
      </c>
      <c r="D1089" s="25" t="str">
        <f t="shared" si="32"/>
        <v>201405</v>
      </c>
      <c r="E1089" s="22" t="str">
        <f t="shared" ca="1" si="33"/>
        <v>201401</v>
      </c>
      <c r="F1089" s="22">
        <v>2014</v>
      </c>
    </row>
    <row r="1090" spans="1:6" ht="15.75">
      <c r="A1090" s="22" t="s">
        <v>1441</v>
      </c>
      <c r="B1090" s="26">
        <v>41671</v>
      </c>
      <c r="C1090" s="27">
        <v>16.97</v>
      </c>
      <c r="D1090" s="25" t="str">
        <f t="shared" si="32"/>
        <v>201405</v>
      </c>
      <c r="E1090" s="22" t="str">
        <f t="shared" ca="1" si="33"/>
        <v>201402</v>
      </c>
      <c r="F1090" s="22">
        <v>2014</v>
      </c>
    </row>
    <row r="1091" spans="1:6" ht="15.75">
      <c r="A1091" s="22" t="s">
        <v>1441</v>
      </c>
      <c r="B1091" s="26">
        <v>41672</v>
      </c>
      <c r="C1091" s="27">
        <v>1</v>
      </c>
      <c r="D1091" s="25" t="str">
        <f t="shared" ref="D1091:D1154" si="34">CONCATENATE(YEAR(B1091-WEEKDAY(B1091,3)+3),TEXT(WEEKNUM(B1091,21),"00"))</f>
        <v>201405</v>
      </c>
      <c r="E1091" s="22" t="str">
        <f t="shared" ref="E1091:E1154" ca="1" si="35">IF(
  AND(
    YEAR(B1091)=YEAR(TODAY())-1,
    MONTH(B1091)=MONTH(TODAY()),
    DAY(B1091)&gt;DAY($H$2)
  ),
  0,
  CONCATENATE(YEAR(B1091),TEXT(MONTH(B1091),"00"))
)</f>
        <v>201402</v>
      </c>
      <c r="F1091" s="22">
        <v>2014</v>
      </c>
    </row>
    <row r="1092" spans="1:6" ht="15.75">
      <c r="A1092" s="22" t="s">
        <v>1441</v>
      </c>
      <c r="B1092" s="26">
        <v>41673</v>
      </c>
      <c r="C1092" s="27">
        <v>0</v>
      </c>
      <c r="D1092" s="25" t="str">
        <f t="shared" si="34"/>
        <v>201406</v>
      </c>
      <c r="E1092" s="22" t="str">
        <f t="shared" ca="1" si="35"/>
        <v>201402</v>
      </c>
      <c r="F1092" s="22">
        <v>2014</v>
      </c>
    </row>
    <row r="1093" spans="1:6" ht="15.75">
      <c r="A1093" s="22" t="s">
        <v>1441</v>
      </c>
      <c r="B1093" s="26">
        <v>41674</v>
      </c>
      <c r="C1093" s="27">
        <v>0</v>
      </c>
      <c r="D1093" s="25" t="str">
        <f t="shared" si="34"/>
        <v>201406</v>
      </c>
      <c r="E1093" s="22" t="str">
        <f t="shared" ca="1" si="35"/>
        <v>201402</v>
      </c>
      <c r="F1093" s="22">
        <v>2014</v>
      </c>
    </row>
    <row r="1094" spans="1:6" ht="15.75">
      <c r="A1094" s="22" t="s">
        <v>1441</v>
      </c>
      <c r="B1094" s="26">
        <v>41675</v>
      </c>
      <c r="C1094" s="27">
        <v>0</v>
      </c>
      <c r="D1094" s="25" t="str">
        <f t="shared" si="34"/>
        <v>201406</v>
      </c>
      <c r="E1094" s="22" t="str">
        <f t="shared" ca="1" si="35"/>
        <v>201402</v>
      </c>
      <c r="F1094" s="22">
        <v>2014</v>
      </c>
    </row>
    <row r="1095" spans="1:6" ht="15.75">
      <c r="A1095" s="22" t="s">
        <v>1441</v>
      </c>
      <c r="B1095" s="26">
        <v>41676</v>
      </c>
      <c r="C1095" s="27">
        <v>0</v>
      </c>
      <c r="D1095" s="25" t="str">
        <f t="shared" si="34"/>
        <v>201406</v>
      </c>
      <c r="E1095" s="22" t="str">
        <f t="shared" ca="1" si="35"/>
        <v>201402</v>
      </c>
      <c r="F1095" s="22">
        <v>2014</v>
      </c>
    </row>
    <row r="1096" spans="1:6" ht="15.75">
      <c r="A1096" s="22" t="s">
        <v>1441</v>
      </c>
      <c r="B1096" s="26">
        <v>41677</v>
      </c>
      <c r="C1096" s="27">
        <v>9.91</v>
      </c>
      <c r="D1096" s="25" t="str">
        <f t="shared" si="34"/>
        <v>201406</v>
      </c>
      <c r="E1096" s="22" t="str">
        <f t="shared" ca="1" si="35"/>
        <v>201402</v>
      </c>
      <c r="F1096" s="22">
        <v>2014</v>
      </c>
    </row>
    <row r="1097" spans="1:6" ht="15.75">
      <c r="A1097" s="22" t="s">
        <v>1441</v>
      </c>
      <c r="B1097" s="26">
        <v>41678</v>
      </c>
      <c r="C1097" s="27">
        <v>9.09</v>
      </c>
      <c r="D1097" s="25" t="str">
        <f t="shared" si="34"/>
        <v>201406</v>
      </c>
      <c r="E1097" s="22" t="str">
        <f t="shared" ca="1" si="35"/>
        <v>201402</v>
      </c>
      <c r="F1097" s="22">
        <v>2014</v>
      </c>
    </row>
    <row r="1098" spans="1:6" ht="15.75">
      <c r="A1098" s="22" t="s">
        <v>1441</v>
      </c>
      <c r="B1098" s="26">
        <v>41679</v>
      </c>
      <c r="C1098" s="27">
        <v>0</v>
      </c>
      <c r="D1098" s="25" t="str">
        <f t="shared" si="34"/>
        <v>201406</v>
      </c>
      <c r="E1098" s="22" t="str">
        <f t="shared" ca="1" si="35"/>
        <v>201402</v>
      </c>
      <c r="F1098" s="22">
        <v>2014</v>
      </c>
    </row>
    <row r="1099" spans="1:6" ht="15.75">
      <c r="A1099" s="22" t="s">
        <v>1441</v>
      </c>
      <c r="B1099" s="26">
        <v>41680</v>
      </c>
      <c r="C1099" s="27">
        <v>0</v>
      </c>
      <c r="D1099" s="25" t="str">
        <f t="shared" si="34"/>
        <v>201407</v>
      </c>
      <c r="E1099" s="22" t="str">
        <f t="shared" ca="1" si="35"/>
        <v>201402</v>
      </c>
      <c r="F1099" s="22">
        <v>2014</v>
      </c>
    </row>
    <row r="1100" spans="1:6" ht="15.75">
      <c r="A1100" s="22" t="s">
        <v>1441</v>
      </c>
      <c r="B1100" s="26">
        <v>41681</v>
      </c>
      <c r="C1100" s="27">
        <v>0</v>
      </c>
      <c r="D1100" s="25" t="str">
        <f t="shared" si="34"/>
        <v>201407</v>
      </c>
      <c r="E1100" s="22" t="str">
        <f t="shared" ca="1" si="35"/>
        <v>201402</v>
      </c>
      <c r="F1100" s="22">
        <v>2014</v>
      </c>
    </row>
    <row r="1101" spans="1:6" ht="15.75">
      <c r="A1101" s="22" t="s">
        <v>1441</v>
      </c>
      <c r="B1101" s="26">
        <v>41682</v>
      </c>
      <c r="C1101" s="27">
        <v>0</v>
      </c>
      <c r="D1101" s="25" t="str">
        <f t="shared" si="34"/>
        <v>201407</v>
      </c>
      <c r="E1101" s="22" t="str">
        <f t="shared" ca="1" si="35"/>
        <v>201402</v>
      </c>
      <c r="F1101" s="22">
        <v>2014</v>
      </c>
    </row>
    <row r="1102" spans="1:6" ht="15.75">
      <c r="A1102" s="22" t="s">
        <v>1441</v>
      </c>
      <c r="B1102" s="26">
        <v>41683</v>
      </c>
      <c r="C1102" s="27">
        <v>0</v>
      </c>
      <c r="D1102" s="25" t="str">
        <f t="shared" si="34"/>
        <v>201407</v>
      </c>
      <c r="E1102" s="22" t="str">
        <f t="shared" ca="1" si="35"/>
        <v>201402</v>
      </c>
      <c r="F1102" s="22">
        <v>2014</v>
      </c>
    </row>
    <row r="1103" spans="1:6" ht="15.75">
      <c r="A1103" s="22" t="s">
        <v>1441</v>
      </c>
      <c r="B1103" s="26">
        <v>41684</v>
      </c>
      <c r="C1103" s="27">
        <v>0</v>
      </c>
      <c r="D1103" s="25" t="str">
        <f t="shared" si="34"/>
        <v>201407</v>
      </c>
      <c r="E1103" s="22" t="str">
        <f t="shared" ca="1" si="35"/>
        <v>201402</v>
      </c>
      <c r="F1103" s="22">
        <v>2014</v>
      </c>
    </row>
    <row r="1104" spans="1:6" ht="15.75">
      <c r="A1104" s="22" t="s">
        <v>1441</v>
      </c>
      <c r="B1104" s="26">
        <v>41685</v>
      </c>
      <c r="C1104" s="27">
        <v>0</v>
      </c>
      <c r="D1104" s="25" t="str">
        <f t="shared" si="34"/>
        <v>201407</v>
      </c>
      <c r="E1104" s="22" t="str">
        <f t="shared" ca="1" si="35"/>
        <v>201402</v>
      </c>
      <c r="F1104" s="22">
        <v>2014</v>
      </c>
    </row>
    <row r="1105" spans="1:6" ht="15.75">
      <c r="A1105" s="22" t="s">
        <v>1441</v>
      </c>
      <c r="B1105" s="26">
        <v>41686</v>
      </c>
      <c r="C1105" s="27">
        <v>0</v>
      </c>
      <c r="D1105" s="25" t="str">
        <f t="shared" si="34"/>
        <v>201407</v>
      </c>
      <c r="E1105" s="22" t="str">
        <f t="shared" ca="1" si="35"/>
        <v>201402</v>
      </c>
      <c r="F1105" s="22">
        <v>2014</v>
      </c>
    </row>
    <row r="1106" spans="1:6" ht="15.75">
      <c r="A1106" s="22" t="s">
        <v>1441</v>
      </c>
      <c r="B1106" s="26">
        <v>41687</v>
      </c>
      <c r="C1106" s="27">
        <v>0</v>
      </c>
      <c r="D1106" s="25" t="str">
        <f t="shared" si="34"/>
        <v>201408</v>
      </c>
      <c r="E1106" s="22" t="str">
        <f t="shared" ca="1" si="35"/>
        <v>201402</v>
      </c>
      <c r="F1106" s="22">
        <v>2014</v>
      </c>
    </row>
    <row r="1107" spans="1:6" ht="15.75">
      <c r="A1107" s="22" t="s">
        <v>1441</v>
      </c>
      <c r="B1107" s="26">
        <v>41688</v>
      </c>
      <c r="C1107" s="27">
        <v>0</v>
      </c>
      <c r="D1107" s="25" t="str">
        <f t="shared" si="34"/>
        <v>201408</v>
      </c>
      <c r="E1107" s="22" t="str">
        <f t="shared" ca="1" si="35"/>
        <v>201402</v>
      </c>
      <c r="F1107" s="22">
        <v>2014</v>
      </c>
    </row>
    <row r="1108" spans="1:6" ht="15.75">
      <c r="A1108" s="22" t="s">
        <v>1441</v>
      </c>
      <c r="B1108" s="26">
        <v>41689</v>
      </c>
      <c r="C1108" s="27">
        <v>0</v>
      </c>
      <c r="D1108" s="25" t="str">
        <f t="shared" si="34"/>
        <v>201408</v>
      </c>
      <c r="E1108" s="22" t="str">
        <f t="shared" ca="1" si="35"/>
        <v>201402</v>
      </c>
      <c r="F1108" s="22">
        <v>2014</v>
      </c>
    </row>
    <row r="1109" spans="1:6" ht="15.75">
      <c r="A1109" s="22" t="s">
        <v>1441</v>
      </c>
      <c r="B1109" s="26">
        <v>41690</v>
      </c>
      <c r="C1109" s="27">
        <v>0</v>
      </c>
      <c r="D1109" s="25" t="str">
        <f t="shared" si="34"/>
        <v>201408</v>
      </c>
      <c r="E1109" s="22" t="str">
        <f t="shared" ca="1" si="35"/>
        <v>201402</v>
      </c>
      <c r="F1109" s="22">
        <v>2014</v>
      </c>
    </row>
    <row r="1110" spans="1:6" ht="15.75">
      <c r="A1110" s="22" t="s">
        <v>1441</v>
      </c>
      <c r="B1110" s="26">
        <v>41691</v>
      </c>
      <c r="C1110" s="27">
        <v>0</v>
      </c>
      <c r="D1110" s="25" t="str">
        <f t="shared" si="34"/>
        <v>201408</v>
      </c>
      <c r="E1110" s="22" t="str">
        <f t="shared" ca="1" si="35"/>
        <v>201402</v>
      </c>
      <c r="F1110" s="22">
        <v>2014</v>
      </c>
    </row>
    <row r="1111" spans="1:6" ht="15.75">
      <c r="A1111" s="22" t="s">
        <v>1441</v>
      </c>
      <c r="B1111" s="26">
        <v>41692</v>
      </c>
      <c r="C1111" s="27">
        <v>0</v>
      </c>
      <c r="D1111" s="25" t="str">
        <f t="shared" si="34"/>
        <v>201408</v>
      </c>
      <c r="E1111" s="22" t="str">
        <f t="shared" ca="1" si="35"/>
        <v>201402</v>
      </c>
      <c r="F1111" s="22">
        <v>2014</v>
      </c>
    </row>
    <row r="1112" spans="1:6" ht="15.75">
      <c r="A1112" s="22" t="s">
        <v>1441</v>
      </c>
      <c r="B1112" s="26">
        <v>41693</v>
      </c>
      <c r="C1112" s="27">
        <v>0</v>
      </c>
      <c r="D1112" s="25" t="str">
        <f t="shared" si="34"/>
        <v>201408</v>
      </c>
      <c r="E1112" s="22" t="str">
        <f t="shared" ca="1" si="35"/>
        <v>201402</v>
      </c>
      <c r="F1112" s="22">
        <v>2014</v>
      </c>
    </row>
    <row r="1113" spans="1:6" ht="15.75">
      <c r="A1113" s="22" t="s">
        <v>1441</v>
      </c>
      <c r="B1113" s="26">
        <v>41694</v>
      </c>
      <c r="C1113" s="27">
        <v>0</v>
      </c>
      <c r="D1113" s="25" t="str">
        <f t="shared" si="34"/>
        <v>201409</v>
      </c>
      <c r="E1113" s="22" t="str">
        <f t="shared" ca="1" si="35"/>
        <v>201402</v>
      </c>
      <c r="F1113" s="22">
        <v>2014</v>
      </c>
    </row>
    <row r="1114" spans="1:6" ht="15.75">
      <c r="A1114" s="22" t="s">
        <v>1441</v>
      </c>
      <c r="B1114" s="26">
        <v>41695</v>
      </c>
      <c r="C1114" s="27">
        <v>0</v>
      </c>
      <c r="D1114" s="25" t="str">
        <f t="shared" si="34"/>
        <v>201409</v>
      </c>
      <c r="E1114" s="22" t="str">
        <f t="shared" ca="1" si="35"/>
        <v>201402</v>
      </c>
      <c r="F1114" s="22">
        <v>2014</v>
      </c>
    </row>
    <row r="1115" spans="1:6" ht="15.75">
      <c r="A1115" s="22" t="s">
        <v>1441</v>
      </c>
      <c r="B1115" s="26">
        <v>41696</v>
      </c>
      <c r="C1115" s="27">
        <v>0</v>
      </c>
      <c r="D1115" s="25" t="str">
        <f t="shared" si="34"/>
        <v>201409</v>
      </c>
      <c r="E1115" s="22" t="str">
        <f t="shared" ca="1" si="35"/>
        <v>201402</v>
      </c>
      <c r="F1115" s="22">
        <v>2014</v>
      </c>
    </row>
    <row r="1116" spans="1:6" ht="15.75">
      <c r="A1116" s="22" t="s">
        <v>1441</v>
      </c>
      <c r="B1116" s="26">
        <v>41697</v>
      </c>
      <c r="C1116" s="27">
        <v>0</v>
      </c>
      <c r="D1116" s="25" t="str">
        <f t="shared" si="34"/>
        <v>201409</v>
      </c>
      <c r="E1116" s="22" t="str">
        <f t="shared" ca="1" si="35"/>
        <v>201402</v>
      </c>
      <c r="F1116" s="22">
        <v>2014</v>
      </c>
    </row>
    <row r="1117" spans="1:6" ht="15.75">
      <c r="A1117" s="22" t="s">
        <v>1441</v>
      </c>
      <c r="B1117" s="26">
        <v>41698</v>
      </c>
      <c r="C1117" s="27">
        <v>0</v>
      </c>
      <c r="D1117" s="25" t="str">
        <f t="shared" si="34"/>
        <v>201409</v>
      </c>
      <c r="E1117" s="22" t="str">
        <f t="shared" ca="1" si="35"/>
        <v>201402</v>
      </c>
      <c r="F1117" s="22">
        <v>2014</v>
      </c>
    </row>
    <row r="1118" spans="1:6" ht="15.75">
      <c r="A1118" s="22" t="s">
        <v>1441</v>
      </c>
      <c r="B1118" s="26">
        <v>41699</v>
      </c>
      <c r="C1118" s="27">
        <v>0</v>
      </c>
      <c r="D1118" s="25" t="str">
        <f t="shared" si="34"/>
        <v>201409</v>
      </c>
      <c r="E1118" s="22" t="str">
        <f t="shared" ca="1" si="35"/>
        <v>201403</v>
      </c>
      <c r="F1118" s="22">
        <v>2014</v>
      </c>
    </row>
    <row r="1119" spans="1:6" ht="15.75">
      <c r="A1119" s="22" t="s">
        <v>1441</v>
      </c>
      <c r="B1119" s="26">
        <v>41700</v>
      </c>
      <c r="C1119" s="27">
        <v>0</v>
      </c>
      <c r="D1119" s="25" t="str">
        <f t="shared" si="34"/>
        <v>201409</v>
      </c>
      <c r="E1119" s="22" t="str">
        <f t="shared" ca="1" si="35"/>
        <v>201403</v>
      </c>
      <c r="F1119" s="22">
        <v>2014</v>
      </c>
    </row>
    <row r="1120" spans="1:6" ht="15.75">
      <c r="A1120" s="22" t="s">
        <v>1441</v>
      </c>
      <c r="B1120" s="26">
        <v>41701</v>
      </c>
      <c r="C1120" s="27">
        <v>0</v>
      </c>
      <c r="D1120" s="25" t="str">
        <f t="shared" si="34"/>
        <v>201410</v>
      </c>
      <c r="E1120" s="22" t="str">
        <f t="shared" ca="1" si="35"/>
        <v>201403</v>
      </c>
      <c r="F1120" s="22">
        <v>2014</v>
      </c>
    </row>
    <row r="1121" spans="1:6" ht="15.75">
      <c r="A1121" s="22" t="s">
        <v>1441</v>
      </c>
      <c r="B1121" s="26">
        <v>41702</v>
      </c>
      <c r="C1121" s="27">
        <v>0</v>
      </c>
      <c r="D1121" s="25" t="str">
        <f t="shared" si="34"/>
        <v>201410</v>
      </c>
      <c r="E1121" s="22" t="str">
        <f t="shared" ca="1" si="35"/>
        <v>201403</v>
      </c>
      <c r="F1121" s="22">
        <v>2014</v>
      </c>
    </row>
    <row r="1122" spans="1:6" ht="15.75">
      <c r="A1122" s="22" t="s">
        <v>1441</v>
      </c>
      <c r="B1122" s="26">
        <v>41703</v>
      </c>
      <c r="C1122" s="27">
        <v>0</v>
      </c>
      <c r="D1122" s="25" t="str">
        <f t="shared" si="34"/>
        <v>201410</v>
      </c>
      <c r="E1122" s="22" t="str">
        <f t="shared" ca="1" si="35"/>
        <v>201403</v>
      </c>
      <c r="F1122" s="22">
        <v>2014</v>
      </c>
    </row>
    <row r="1123" spans="1:6" ht="15.75">
      <c r="A1123" s="22" t="s">
        <v>1441</v>
      </c>
      <c r="B1123" s="26">
        <v>41704</v>
      </c>
      <c r="C1123" s="27">
        <v>0</v>
      </c>
      <c r="D1123" s="25" t="str">
        <f t="shared" si="34"/>
        <v>201410</v>
      </c>
      <c r="E1123" s="22" t="str">
        <f t="shared" ca="1" si="35"/>
        <v>201403</v>
      </c>
      <c r="F1123" s="22">
        <v>2014</v>
      </c>
    </row>
    <row r="1124" spans="1:6" ht="15.75">
      <c r="A1124" s="22" t="s">
        <v>1441</v>
      </c>
      <c r="B1124" s="26">
        <v>41705</v>
      </c>
      <c r="C1124" s="27">
        <v>0</v>
      </c>
      <c r="D1124" s="25" t="str">
        <f t="shared" si="34"/>
        <v>201410</v>
      </c>
      <c r="E1124" s="22" t="str">
        <f t="shared" ca="1" si="35"/>
        <v>201403</v>
      </c>
      <c r="F1124" s="22">
        <v>2014</v>
      </c>
    </row>
    <row r="1125" spans="1:6" ht="15.75">
      <c r="A1125" s="22" t="s">
        <v>1441</v>
      </c>
      <c r="B1125" s="26">
        <v>41706</v>
      </c>
      <c r="C1125" s="27">
        <v>0</v>
      </c>
      <c r="D1125" s="25" t="str">
        <f t="shared" si="34"/>
        <v>201410</v>
      </c>
      <c r="E1125" s="22" t="str">
        <f t="shared" ca="1" si="35"/>
        <v>201403</v>
      </c>
      <c r="F1125" s="22">
        <v>2014</v>
      </c>
    </row>
    <row r="1126" spans="1:6" ht="15.75">
      <c r="A1126" s="22" t="s">
        <v>1441</v>
      </c>
      <c r="B1126" s="26">
        <v>41707</v>
      </c>
      <c r="C1126" s="27">
        <v>0</v>
      </c>
      <c r="D1126" s="25" t="str">
        <f t="shared" si="34"/>
        <v>201410</v>
      </c>
      <c r="E1126" s="22" t="str">
        <f t="shared" ca="1" si="35"/>
        <v>201403</v>
      </c>
      <c r="F1126" s="22">
        <v>2014</v>
      </c>
    </row>
    <row r="1127" spans="1:6" ht="15.75">
      <c r="A1127" s="22" t="s">
        <v>1441</v>
      </c>
      <c r="B1127" s="26">
        <v>41708</v>
      </c>
      <c r="C1127" s="27">
        <v>0</v>
      </c>
      <c r="D1127" s="25" t="str">
        <f t="shared" si="34"/>
        <v>201411</v>
      </c>
      <c r="E1127" s="22" t="str">
        <f t="shared" ca="1" si="35"/>
        <v>201403</v>
      </c>
      <c r="F1127" s="22">
        <v>2014</v>
      </c>
    </row>
    <row r="1128" spans="1:6" ht="15.75">
      <c r="A1128" s="22" t="s">
        <v>1441</v>
      </c>
      <c r="B1128" s="26">
        <v>41709</v>
      </c>
      <c r="C1128" s="27">
        <v>0</v>
      </c>
      <c r="D1128" s="25" t="str">
        <f t="shared" si="34"/>
        <v>201411</v>
      </c>
      <c r="E1128" s="22" t="str">
        <f t="shared" ca="1" si="35"/>
        <v>201403</v>
      </c>
      <c r="F1128" s="22">
        <v>2014</v>
      </c>
    </row>
    <row r="1129" spans="1:6" ht="15.75">
      <c r="A1129" s="22" t="s">
        <v>1441</v>
      </c>
      <c r="B1129" s="26">
        <v>41710</v>
      </c>
      <c r="C1129" s="27">
        <v>0</v>
      </c>
      <c r="D1129" s="25" t="str">
        <f t="shared" si="34"/>
        <v>201411</v>
      </c>
      <c r="E1129" s="22" t="str">
        <f t="shared" ca="1" si="35"/>
        <v>201403</v>
      </c>
      <c r="F1129" s="22">
        <v>2014</v>
      </c>
    </row>
    <row r="1130" spans="1:6" ht="15.75">
      <c r="A1130" s="22" t="s">
        <v>1441</v>
      </c>
      <c r="B1130" s="26">
        <v>41711</v>
      </c>
      <c r="C1130" s="27">
        <v>0</v>
      </c>
      <c r="D1130" s="25" t="str">
        <f t="shared" si="34"/>
        <v>201411</v>
      </c>
      <c r="E1130" s="22" t="str">
        <f t="shared" ca="1" si="35"/>
        <v>201403</v>
      </c>
      <c r="F1130" s="22">
        <v>2014</v>
      </c>
    </row>
    <row r="1131" spans="1:6" ht="15.75">
      <c r="A1131" s="22" t="s">
        <v>1441</v>
      </c>
      <c r="B1131" s="26">
        <v>41712</v>
      </c>
      <c r="C1131" s="27">
        <v>0</v>
      </c>
      <c r="D1131" s="25" t="str">
        <f t="shared" si="34"/>
        <v>201411</v>
      </c>
      <c r="E1131" s="22" t="str">
        <f t="shared" ca="1" si="35"/>
        <v>201403</v>
      </c>
      <c r="F1131" s="22">
        <v>2014</v>
      </c>
    </row>
    <row r="1132" spans="1:6" ht="15.75">
      <c r="A1132" s="22" t="s">
        <v>1441</v>
      </c>
      <c r="B1132" s="26">
        <v>41713</v>
      </c>
      <c r="C1132" s="27">
        <v>0</v>
      </c>
      <c r="D1132" s="25" t="str">
        <f t="shared" si="34"/>
        <v>201411</v>
      </c>
      <c r="E1132" s="22" t="str">
        <f t="shared" ca="1" si="35"/>
        <v>201403</v>
      </c>
      <c r="F1132" s="22">
        <v>2014</v>
      </c>
    </row>
    <row r="1133" spans="1:6" ht="15.75">
      <c r="A1133" s="22" t="s">
        <v>1441</v>
      </c>
      <c r="B1133" s="26">
        <v>41714</v>
      </c>
      <c r="C1133" s="27">
        <v>0</v>
      </c>
      <c r="D1133" s="25" t="str">
        <f t="shared" si="34"/>
        <v>201411</v>
      </c>
      <c r="E1133" s="22" t="str">
        <f t="shared" ca="1" si="35"/>
        <v>201403</v>
      </c>
      <c r="F1133" s="22">
        <v>2014</v>
      </c>
    </row>
    <row r="1134" spans="1:6" ht="15.75">
      <c r="A1134" s="22" t="s">
        <v>1441</v>
      </c>
      <c r="B1134" s="26">
        <v>41715</v>
      </c>
      <c r="C1134" s="27">
        <v>0</v>
      </c>
      <c r="D1134" s="25" t="str">
        <f t="shared" si="34"/>
        <v>201412</v>
      </c>
      <c r="E1134" s="22" t="str">
        <f t="shared" ca="1" si="35"/>
        <v>201403</v>
      </c>
      <c r="F1134" s="22">
        <v>2014</v>
      </c>
    </row>
    <row r="1135" spans="1:6" ht="15.75">
      <c r="A1135" s="22" t="s">
        <v>1441</v>
      </c>
      <c r="B1135" s="26">
        <v>41716</v>
      </c>
      <c r="C1135" s="27">
        <v>0</v>
      </c>
      <c r="D1135" s="25" t="str">
        <f t="shared" si="34"/>
        <v>201412</v>
      </c>
      <c r="E1135" s="22" t="str">
        <f t="shared" ca="1" si="35"/>
        <v>201403</v>
      </c>
      <c r="F1135" s="22">
        <v>2014</v>
      </c>
    </row>
    <row r="1136" spans="1:6" ht="15.75">
      <c r="A1136" s="22" t="s">
        <v>1441</v>
      </c>
      <c r="B1136" s="26">
        <v>41717</v>
      </c>
      <c r="C1136" s="27">
        <v>0</v>
      </c>
      <c r="D1136" s="25" t="str">
        <f t="shared" si="34"/>
        <v>201412</v>
      </c>
      <c r="E1136" s="22" t="str">
        <f t="shared" ca="1" si="35"/>
        <v>201403</v>
      </c>
      <c r="F1136" s="22">
        <v>2014</v>
      </c>
    </row>
    <row r="1137" spans="1:6" ht="15.75">
      <c r="A1137" s="22" t="s">
        <v>1441</v>
      </c>
      <c r="B1137" s="26">
        <v>41718</v>
      </c>
      <c r="C1137" s="27">
        <v>0</v>
      </c>
      <c r="D1137" s="25" t="str">
        <f t="shared" si="34"/>
        <v>201412</v>
      </c>
      <c r="E1137" s="22" t="str">
        <f t="shared" ca="1" si="35"/>
        <v>201403</v>
      </c>
      <c r="F1137" s="22">
        <v>2014</v>
      </c>
    </row>
    <row r="1138" spans="1:6" ht="15.75">
      <c r="A1138" s="22" t="s">
        <v>1441</v>
      </c>
      <c r="B1138" s="26">
        <v>41719</v>
      </c>
      <c r="C1138" s="27">
        <v>0</v>
      </c>
      <c r="D1138" s="25" t="str">
        <f t="shared" si="34"/>
        <v>201412</v>
      </c>
      <c r="E1138" s="22" t="str">
        <f t="shared" ca="1" si="35"/>
        <v>201403</v>
      </c>
      <c r="F1138" s="22">
        <v>2014</v>
      </c>
    </row>
    <row r="1139" spans="1:6" ht="15.75">
      <c r="A1139" s="22" t="s">
        <v>1441</v>
      </c>
      <c r="B1139" s="26">
        <v>41720</v>
      </c>
      <c r="C1139" s="27">
        <v>0</v>
      </c>
      <c r="D1139" s="25" t="str">
        <f t="shared" si="34"/>
        <v>201412</v>
      </c>
      <c r="E1139" s="22" t="str">
        <f t="shared" ca="1" si="35"/>
        <v>201403</v>
      </c>
      <c r="F1139" s="22">
        <v>2014</v>
      </c>
    </row>
    <row r="1140" spans="1:6" ht="15.75">
      <c r="A1140" s="22" t="s">
        <v>1441</v>
      </c>
      <c r="B1140" s="26">
        <v>41721</v>
      </c>
      <c r="C1140" s="27">
        <v>0</v>
      </c>
      <c r="D1140" s="25" t="str">
        <f t="shared" si="34"/>
        <v>201412</v>
      </c>
      <c r="E1140" s="22" t="str">
        <f t="shared" ca="1" si="35"/>
        <v>201403</v>
      </c>
      <c r="F1140" s="22">
        <v>2014</v>
      </c>
    </row>
    <row r="1141" spans="1:6" ht="15.75">
      <c r="A1141" s="22" t="s">
        <v>1441</v>
      </c>
      <c r="B1141" s="26">
        <v>41722</v>
      </c>
      <c r="C1141" s="27">
        <v>0</v>
      </c>
      <c r="D1141" s="25" t="str">
        <f t="shared" si="34"/>
        <v>201413</v>
      </c>
      <c r="E1141" s="22" t="str">
        <f t="shared" ca="1" si="35"/>
        <v>201403</v>
      </c>
      <c r="F1141" s="22">
        <v>2014</v>
      </c>
    </row>
    <row r="1142" spans="1:6" ht="15.75">
      <c r="A1142" s="22" t="s">
        <v>1441</v>
      </c>
      <c r="B1142" s="26">
        <v>41723</v>
      </c>
      <c r="C1142" s="27">
        <v>0</v>
      </c>
      <c r="D1142" s="25" t="str">
        <f t="shared" si="34"/>
        <v>201413</v>
      </c>
      <c r="E1142" s="22" t="str">
        <f t="shared" ca="1" si="35"/>
        <v>201403</v>
      </c>
      <c r="F1142" s="22">
        <v>2014</v>
      </c>
    </row>
    <row r="1143" spans="1:6" ht="15.75">
      <c r="A1143" s="22" t="s">
        <v>1441</v>
      </c>
      <c r="B1143" s="26">
        <v>41724</v>
      </c>
      <c r="C1143" s="27">
        <v>0</v>
      </c>
      <c r="D1143" s="25" t="str">
        <f t="shared" si="34"/>
        <v>201413</v>
      </c>
      <c r="E1143" s="22" t="str">
        <f t="shared" ca="1" si="35"/>
        <v>201403</v>
      </c>
      <c r="F1143" s="22">
        <v>2014</v>
      </c>
    </row>
    <row r="1144" spans="1:6" ht="15.75">
      <c r="A1144" s="22" t="s">
        <v>1441</v>
      </c>
      <c r="B1144" s="26">
        <v>41725</v>
      </c>
      <c r="C1144" s="27">
        <v>0</v>
      </c>
      <c r="D1144" s="25" t="str">
        <f t="shared" si="34"/>
        <v>201413</v>
      </c>
      <c r="E1144" s="22" t="str">
        <f t="shared" ca="1" si="35"/>
        <v>201403</v>
      </c>
      <c r="F1144" s="22">
        <v>2014</v>
      </c>
    </row>
    <row r="1145" spans="1:6" ht="15.75">
      <c r="A1145" s="22" t="s">
        <v>1441</v>
      </c>
      <c r="B1145" s="26">
        <v>41726</v>
      </c>
      <c r="C1145" s="27">
        <v>0</v>
      </c>
      <c r="D1145" s="25" t="str">
        <f t="shared" si="34"/>
        <v>201413</v>
      </c>
      <c r="E1145" s="22" t="str">
        <f t="shared" ca="1" si="35"/>
        <v>201403</v>
      </c>
      <c r="F1145" s="22">
        <v>2014</v>
      </c>
    </row>
    <row r="1146" spans="1:6" ht="15.75">
      <c r="A1146" s="22" t="s">
        <v>1441</v>
      </c>
      <c r="B1146" s="26">
        <v>41727</v>
      </c>
      <c r="C1146" s="27">
        <v>0</v>
      </c>
      <c r="D1146" s="25" t="str">
        <f t="shared" si="34"/>
        <v>201413</v>
      </c>
      <c r="E1146" s="22" t="str">
        <f t="shared" ca="1" si="35"/>
        <v>201403</v>
      </c>
      <c r="F1146" s="22">
        <v>2014</v>
      </c>
    </row>
    <row r="1147" spans="1:6" ht="15.75">
      <c r="A1147" s="22" t="s">
        <v>1441</v>
      </c>
      <c r="B1147" s="26">
        <v>41728</v>
      </c>
      <c r="C1147" s="27">
        <v>0</v>
      </c>
      <c r="D1147" s="25" t="str">
        <f t="shared" si="34"/>
        <v>201413</v>
      </c>
      <c r="E1147" s="22" t="str">
        <f t="shared" ca="1" si="35"/>
        <v>201403</v>
      </c>
      <c r="F1147" s="22">
        <v>2014</v>
      </c>
    </row>
    <row r="1148" spans="1:6" ht="15.75">
      <c r="A1148" s="22" t="s">
        <v>1441</v>
      </c>
      <c r="B1148" s="26">
        <v>41729</v>
      </c>
      <c r="C1148" s="27">
        <v>0</v>
      </c>
      <c r="D1148" s="25" t="str">
        <f t="shared" si="34"/>
        <v>201414</v>
      </c>
      <c r="E1148" s="22" t="str">
        <f t="shared" ca="1" si="35"/>
        <v>201403</v>
      </c>
      <c r="F1148" s="22">
        <v>2014</v>
      </c>
    </row>
    <row r="1149" spans="1:6" ht="15.75">
      <c r="A1149" s="22" t="s">
        <v>1441</v>
      </c>
      <c r="B1149" s="26">
        <v>41730</v>
      </c>
      <c r="C1149" s="27">
        <v>0</v>
      </c>
      <c r="D1149" s="25" t="str">
        <f t="shared" si="34"/>
        <v>201414</v>
      </c>
      <c r="E1149" s="22" t="str">
        <f t="shared" ca="1" si="35"/>
        <v>201404</v>
      </c>
      <c r="F1149" s="22">
        <v>2014</v>
      </c>
    </row>
    <row r="1150" spans="1:6" ht="15.75">
      <c r="A1150" s="22" t="s">
        <v>1441</v>
      </c>
      <c r="B1150" s="26">
        <v>41731</v>
      </c>
      <c r="C1150" s="27">
        <v>0</v>
      </c>
      <c r="D1150" s="25" t="str">
        <f t="shared" si="34"/>
        <v>201414</v>
      </c>
      <c r="E1150" s="22" t="str">
        <f t="shared" ca="1" si="35"/>
        <v>201404</v>
      </c>
      <c r="F1150" s="22">
        <v>2014</v>
      </c>
    </row>
    <row r="1151" spans="1:6" ht="15.75">
      <c r="A1151" s="22" t="s">
        <v>1441</v>
      </c>
      <c r="B1151" s="26">
        <v>41732</v>
      </c>
      <c r="C1151" s="27">
        <v>0</v>
      </c>
      <c r="D1151" s="25" t="str">
        <f t="shared" si="34"/>
        <v>201414</v>
      </c>
      <c r="E1151" s="22" t="str">
        <f t="shared" ca="1" si="35"/>
        <v>201404</v>
      </c>
      <c r="F1151" s="22">
        <v>2014</v>
      </c>
    </row>
    <row r="1152" spans="1:6" ht="15.75">
      <c r="A1152" s="22" t="s">
        <v>1441</v>
      </c>
      <c r="B1152" s="26">
        <v>41733</v>
      </c>
      <c r="C1152" s="27">
        <v>0</v>
      </c>
      <c r="D1152" s="25" t="str">
        <f t="shared" si="34"/>
        <v>201414</v>
      </c>
      <c r="E1152" s="22" t="str">
        <f t="shared" ca="1" si="35"/>
        <v>201404</v>
      </c>
      <c r="F1152" s="22">
        <v>2014</v>
      </c>
    </row>
    <row r="1153" spans="1:6" ht="15.75">
      <c r="A1153" s="22" t="s">
        <v>1441</v>
      </c>
      <c r="B1153" s="26">
        <v>41734</v>
      </c>
      <c r="C1153" s="27">
        <v>0</v>
      </c>
      <c r="D1153" s="25" t="str">
        <f t="shared" si="34"/>
        <v>201414</v>
      </c>
      <c r="E1153" s="22" t="str">
        <f t="shared" ca="1" si="35"/>
        <v>201404</v>
      </c>
      <c r="F1153" s="22">
        <v>2014</v>
      </c>
    </row>
    <row r="1154" spans="1:6" ht="15.75">
      <c r="A1154" s="22" t="s">
        <v>1441</v>
      </c>
      <c r="B1154" s="26">
        <v>41735</v>
      </c>
      <c r="C1154" s="27">
        <v>0</v>
      </c>
      <c r="D1154" s="25" t="str">
        <f t="shared" si="34"/>
        <v>201414</v>
      </c>
      <c r="E1154" s="22" t="str">
        <f t="shared" ca="1" si="35"/>
        <v>201404</v>
      </c>
      <c r="F1154" s="22">
        <v>2014</v>
      </c>
    </row>
    <row r="1155" spans="1:6" ht="15.75">
      <c r="A1155" s="22" t="s">
        <v>1441</v>
      </c>
      <c r="B1155" s="26">
        <v>41736</v>
      </c>
      <c r="C1155" s="27">
        <v>0</v>
      </c>
      <c r="D1155" s="25" t="str">
        <f t="shared" ref="D1155:D1218" si="36">CONCATENATE(YEAR(B1155-WEEKDAY(B1155,3)+3),TEXT(WEEKNUM(B1155,21),"00"))</f>
        <v>201415</v>
      </c>
      <c r="E1155" s="22" t="str">
        <f t="shared" ref="E1155:E1218" ca="1" si="37">IF(
  AND(
    YEAR(B1155)=YEAR(TODAY())-1,
    MONTH(B1155)=MONTH(TODAY()),
    DAY(B1155)&gt;DAY($H$2)
  ),
  0,
  CONCATENATE(YEAR(B1155),TEXT(MONTH(B1155),"00"))
)</f>
        <v>201404</v>
      </c>
      <c r="F1155" s="22">
        <v>2014</v>
      </c>
    </row>
    <row r="1156" spans="1:6" ht="15.75">
      <c r="A1156" s="22" t="s">
        <v>1441</v>
      </c>
      <c r="B1156" s="26">
        <v>41737</v>
      </c>
      <c r="C1156" s="27">
        <v>0</v>
      </c>
      <c r="D1156" s="25" t="str">
        <f t="shared" si="36"/>
        <v>201415</v>
      </c>
      <c r="E1156" s="22" t="str">
        <f t="shared" ca="1" si="37"/>
        <v>201404</v>
      </c>
      <c r="F1156" s="22">
        <v>2014</v>
      </c>
    </row>
    <row r="1157" spans="1:6" ht="15.75">
      <c r="A1157" s="22" t="s">
        <v>1441</v>
      </c>
      <c r="B1157" s="26">
        <v>41738</v>
      </c>
      <c r="C1157" s="27">
        <v>0</v>
      </c>
      <c r="D1157" s="25" t="str">
        <f t="shared" si="36"/>
        <v>201415</v>
      </c>
      <c r="E1157" s="22" t="str">
        <f t="shared" ca="1" si="37"/>
        <v>201404</v>
      </c>
      <c r="F1157" s="22">
        <v>2014</v>
      </c>
    </row>
    <row r="1158" spans="1:6" ht="15.75">
      <c r="A1158" s="22" t="s">
        <v>1441</v>
      </c>
      <c r="B1158" s="26">
        <v>41739</v>
      </c>
      <c r="C1158" s="27">
        <v>0</v>
      </c>
      <c r="D1158" s="25" t="str">
        <f t="shared" si="36"/>
        <v>201415</v>
      </c>
      <c r="E1158" s="22" t="str">
        <f t="shared" ca="1" si="37"/>
        <v>201404</v>
      </c>
      <c r="F1158" s="22">
        <v>2014</v>
      </c>
    </row>
    <row r="1159" spans="1:6" ht="15.75">
      <c r="A1159" s="22" t="s">
        <v>1441</v>
      </c>
      <c r="B1159" s="26">
        <v>41740</v>
      </c>
      <c r="C1159" s="27">
        <v>0</v>
      </c>
      <c r="D1159" s="25" t="str">
        <f t="shared" si="36"/>
        <v>201415</v>
      </c>
      <c r="E1159" s="22" t="str">
        <f t="shared" ca="1" si="37"/>
        <v>201404</v>
      </c>
      <c r="F1159" s="22">
        <v>2014</v>
      </c>
    </row>
    <row r="1160" spans="1:6" ht="15.75">
      <c r="A1160" s="22" t="s">
        <v>1441</v>
      </c>
      <c r="B1160" s="26">
        <v>41741</v>
      </c>
      <c r="C1160" s="27">
        <v>0</v>
      </c>
      <c r="D1160" s="25" t="str">
        <f t="shared" si="36"/>
        <v>201415</v>
      </c>
      <c r="E1160" s="22" t="str">
        <f t="shared" ca="1" si="37"/>
        <v>201404</v>
      </c>
      <c r="F1160" s="22">
        <v>2014</v>
      </c>
    </row>
    <row r="1161" spans="1:6" ht="15.75">
      <c r="A1161" s="22" t="s">
        <v>1441</v>
      </c>
      <c r="B1161" s="26">
        <v>41742</v>
      </c>
      <c r="C1161" s="27">
        <v>0</v>
      </c>
      <c r="D1161" s="25" t="str">
        <f t="shared" si="36"/>
        <v>201415</v>
      </c>
      <c r="E1161" s="22" t="str">
        <f t="shared" ca="1" si="37"/>
        <v>201404</v>
      </c>
      <c r="F1161" s="22">
        <v>2014</v>
      </c>
    </row>
    <row r="1162" spans="1:6" ht="15.75">
      <c r="A1162" s="22" t="s">
        <v>1441</v>
      </c>
      <c r="B1162" s="26">
        <v>41743</v>
      </c>
      <c r="C1162" s="27">
        <v>0</v>
      </c>
      <c r="D1162" s="25" t="str">
        <f t="shared" si="36"/>
        <v>201416</v>
      </c>
      <c r="E1162" s="22" t="str">
        <f t="shared" ca="1" si="37"/>
        <v>201404</v>
      </c>
      <c r="F1162" s="22">
        <v>2014</v>
      </c>
    </row>
    <row r="1163" spans="1:6" ht="15.75">
      <c r="A1163" s="22" t="s">
        <v>1441</v>
      </c>
      <c r="B1163" s="26">
        <v>41744</v>
      </c>
      <c r="C1163" s="27">
        <v>0</v>
      </c>
      <c r="D1163" s="25" t="str">
        <f t="shared" si="36"/>
        <v>201416</v>
      </c>
      <c r="E1163" s="22" t="str">
        <f t="shared" ca="1" si="37"/>
        <v>201404</v>
      </c>
      <c r="F1163" s="22">
        <v>2014</v>
      </c>
    </row>
    <row r="1164" spans="1:6" ht="15.75">
      <c r="A1164" s="22" t="s">
        <v>1441</v>
      </c>
      <c r="B1164" s="26">
        <v>41745</v>
      </c>
      <c r="C1164" s="27">
        <v>0</v>
      </c>
      <c r="D1164" s="25" t="str">
        <f t="shared" si="36"/>
        <v>201416</v>
      </c>
      <c r="E1164" s="22" t="str">
        <f t="shared" ca="1" si="37"/>
        <v>201404</v>
      </c>
      <c r="F1164" s="22">
        <v>2014</v>
      </c>
    </row>
    <row r="1165" spans="1:6" ht="15.75">
      <c r="A1165" s="22" t="s">
        <v>1441</v>
      </c>
      <c r="B1165" s="26">
        <v>41746</v>
      </c>
      <c r="C1165" s="27">
        <v>0</v>
      </c>
      <c r="D1165" s="25" t="str">
        <f t="shared" si="36"/>
        <v>201416</v>
      </c>
      <c r="E1165" s="22" t="str">
        <f t="shared" ca="1" si="37"/>
        <v>201404</v>
      </c>
      <c r="F1165" s="22">
        <v>2014</v>
      </c>
    </row>
    <row r="1166" spans="1:6" ht="15.75">
      <c r="A1166" s="22" t="s">
        <v>1441</v>
      </c>
      <c r="B1166" s="26">
        <v>41747</v>
      </c>
      <c r="C1166" s="27">
        <v>0</v>
      </c>
      <c r="D1166" s="25" t="str">
        <f t="shared" si="36"/>
        <v>201416</v>
      </c>
      <c r="E1166" s="22" t="str">
        <f t="shared" ca="1" si="37"/>
        <v>201404</v>
      </c>
      <c r="F1166" s="22">
        <v>2014</v>
      </c>
    </row>
    <row r="1167" spans="1:6" ht="15.75">
      <c r="A1167" s="22" t="s">
        <v>1441</v>
      </c>
      <c r="B1167" s="26">
        <v>41748</v>
      </c>
      <c r="C1167" s="27">
        <v>0</v>
      </c>
      <c r="D1167" s="25" t="str">
        <f t="shared" si="36"/>
        <v>201416</v>
      </c>
      <c r="E1167" s="22" t="str">
        <f t="shared" ca="1" si="37"/>
        <v>201404</v>
      </c>
      <c r="F1167" s="22">
        <v>2014</v>
      </c>
    </row>
    <row r="1168" spans="1:6" ht="15.75">
      <c r="A1168" s="22" t="s">
        <v>1441</v>
      </c>
      <c r="B1168" s="26">
        <v>41749</v>
      </c>
      <c r="C1168" s="27">
        <v>0</v>
      </c>
      <c r="D1168" s="25" t="str">
        <f t="shared" si="36"/>
        <v>201416</v>
      </c>
      <c r="E1168" s="22" t="str">
        <f t="shared" ca="1" si="37"/>
        <v>201404</v>
      </c>
      <c r="F1168" s="22">
        <v>2014</v>
      </c>
    </row>
    <row r="1169" spans="1:6" ht="15.75">
      <c r="A1169" s="22" t="s">
        <v>1441</v>
      </c>
      <c r="B1169" s="26">
        <v>41750</v>
      </c>
      <c r="C1169" s="27">
        <v>0</v>
      </c>
      <c r="D1169" s="25" t="str">
        <f t="shared" si="36"/>
        <v>201417</v>
      </c>
      <c r="E1169" s="22" t="str">
        <f t="shared" ca="1" si="37"/>
        <v>201404</v>
      </c>
      <c r="F1169" s="22">
        <v>2014</v>
      </c>
    </row>
    <row r="1170" spans="1:6" ht="15.75">
      <c r="A1170" s="22" t="s">
        <v>1441</v>
      </c>
      <c r="B1170" s="26">
        <v>41751</v>
      </c>
      <c r="C1170" s="27">
        <v>0</v>
      </c>
      <c r="D1170" s="25" t="str">
        <f t="shared" si="36"/>
        <v>201417</v>
      </c>
      <c r="E1170" s="22" t="str">
        <f t="shared" ca="1" si="37"/>
        <v>201404</v>
      </c>
      <c r="F1170" s="22">
        <v>2014</v>
      </c>
    </row>
    <row r="1171" spans="1:6" ht="15.75">
      <c r="A1171" s="22" t="s">
        <v>1441</v>
      </c>
      <c r="B1171" s="26">
        <v>41752</v>
      </c>
      <c r="C1171" s="27">
        <v>0</v>
      </c>
      <c r="D1171" s="25" t="str">
        <f t="shared" si="36"/>
        <v>201417</v>
      </c>
      <c r="E1171" s="22" t="str">
        <f t="shared" ca="1" si="37"/>
        <v>201404</v>
      </c>
      <c r="F1171" s="22">
        <v>2014</v>
      </c>
    </row>
    <row r="1172" spans="1:6" ht="15.75">
      <c r="A1172" s="22" t="s">
        <v>1441</v>
      </c>
      <c r="B1172" s="26">
        <v>41753</v>
      </c>
      <c r="C1172" s="27">
        <v>0</v>
      </c>
      <c r="D1172" s="25" t="str">
        <f t="shared" si="36"/>
        <v>201417</v>
      </c>
      <c r="E1172" s="22" t="str">
        <f t="shared" ca="1" si="37"/>
        <v>201404</v>
      </c>
      <c r="F1172" s="22">
        <v>2014</v>
      </c>
    </row>
    <row r="1173" spans="1:6" ht="15.75">
      <c r="A1173" s="22" t="s">
        <v>1441</v>
      </c>
      <c r="B1173" s="26">
        <v>41754</v>
      </c>
      <c r="C1173" s="27">
        <v>0</v>
      </c>
      <c r="D1173" s="25" t="str">
        <f t="shared" si="36"/>
        <v>201417</v>
      </c>
      <c r="E1173" s="22" t="str">
        <f t="shared" ca="1" si="37"/>
        <v>201404</v>
      </c>
      <c r="F1173" s="22">
        <v>2014</v>
      </c>
    </row>
    <row r="1174" spans="1:6" ht="15.75">
      <c r="A1174" s="22" t="s">
        <v>1441</v>
      </c>
      <c r="B1174" s="26">
        <v>41755</v>
      </c>
      <c r="C1174" s="27">
        <v>0</v>
      </c>
      <c r="D1174" s="25" t="str">
        <f t="shared" si="36"/>
        <v>201417</v>
      </c>
      <c r="E1174" s="22" t="str">
        <f t="shared" ca="1" si="37"/>
        <v>201404</v>
      </c>
      <c r="F1174" s="22">
        <v>2014</v>
      </c>
    </row>
    <row r="1175" spans="1:6" ht="15.75">
      <c r="A1175" s="22" t="s">
        <v>1441</v>
      </c>
      <c r="B1175" s="26">
        <v>41756</v>
      </c>
      <c r="C1175" s="27">
        <v>0</v>
      </c>
      <c r="D1175" s="25" t="str">
        <f t="shared" si="36"/>
        <v>201417</v>
      </c>
      <c r="E1175" s="22" t="str">
        <f t="shared" ca="1" si="37"/>
        <v>201404</v>
      </c>
      <c r="F1175" s="22">
        <v>2014</v>
      </c>
    </row>
    <row r="1176" spans="1:6" ht="15.75">
      <c r="A1176" s="22" t="s">
        <v>1441</v>
      </c>
      <c r="B1176" s="26">
        <v>41757</v>
      </c>
      <c r="C1176" s="27">
        <v>0</v>
      </c>
      <c r="D1176" s="25" t="str">
        <f t="shared" si="36"/>
        <v>201418</v>
      </c>
      <c r="E1176" s="22" t="str">
        <f t="shared" ca="1" si="37"/>
        <v>201404</v>
      </c>
      <c r="F1176" s="22">
        <v>2014</v>
      </c>
    </row>
    <row r="1177" spans="1:6" ht="15.75">
      <c r="A1177" s="22" t="s">
        <v>1441</v>
      </c>
      <c r="B1177" s="26">
        <v>41758</v>
      </c>
      <c r="C1177" s="27">
        <v>0</v>
      </c>
      <c r="D1177" s="25" t="str">
        <f t="shared" si="36"/>
        <v>201418</v>
      </c>
      <c r="E1177" s="22" t="str">
        <f t="shared" ca="1" si="37"/>
        <v>201404</v>
      </c>
      <c r="F1177" s="22">
        <v>2014</v>
      </c>
    </row>
    <row r="1178" spans="1:6" ht="15.75">
      <c r="A1178" s="22" t="s">
        <v>1441</v>
      </c>
      <c r="B1178" s="26">
        <v>41759</v>
      </c>
      <c r="C1178" s="27">
        <v>0</v>
      </c>
      <c r="D1178" s="25" t="str">
        <f t="shared" si="36"/>
        <v>201418</v>
      </c>
      <c r="E1178" s="22" t="str">
        <f t="shared" ca="1" si="37"/>
        <v>201404</v>
      </c>
      <c r="F1178" s="22">
        <v>2014</v>
      </c>
    </row>
    <row r="1179" spans="1:6" ht="15.75">
      <c r="A1179" s="22" t="s">
        <v>1441</v>
      </c>
      <c r="B1179" s="26">
        <v>41760</v>
      </c>
      <c r="C1179" s="27">
        <v>0</v>
      </c>
      <c r="D1179" s="25" t="str">
        <f t="shared" si="36"/>
        <v>201418</v>
      </c>
      <c r="E1179" s="22" t="str">
        <f t="shared" ca="1" si="37"/>
        <v>201405</v>
      </c>
      <c r="F1179" s="22">
        <v>2014</v>
      </c>
    </row>
    <row r="1180" spans="1:6" ht="15.75">
      <c r="A1180" s="22" t="s">
        <v>1441</v>
      </c>
      <c r="B1180" s="26">
        <v>41761</v>
      </c>
      <c r="C1180" s="27">
        <v>0</v>
      </c>
      <c r="D1180" s="25" t="str">
        <f t="shared" si="36"/>
        <v>201418</v>
      </c>
      <c r="E1180" s="22" t="str">
        <f t="shared" ca="1" si="37"/>
        <v>201405</v>
      </c>
      <c r="F1180" s="22">
        <v>2014</v>
      </c>
    </row>
    <row r="1181" spans="1:6" ht="15.75">
      <c r="A1181" s="22" t="s">
        <v>1441</v>
      </c>
      <c r="B1181" s="26">
        <v>41762</v>
      </c>
      <c r="C1181" s="27">
        <v>0</v>
      </c>
      <c r="D1181" s="25" t="str">
        <f t="shared" si="36"/>
        <v>201418</v>
      </c>
      <c r="E1181" s="22" t="str">
        <f t="shared" ca="1" si="37"/>
        <v>201405</v>
      </c>
      <c r="F1181" s="22">
        <v>2014</v>
      </c>
    </row>
    <row r="1182" spans="1:6" ht="15.75">
      <c r="A1182" s="22" t="s">
        <v>1441</v>
      </c>
      <c r="B1182" s="26">
        <v>41763</v>
      </c>
      <c r="C1182" s="27">
        <v>0</v>
      </c>
      <c r="D1182" s="25" t="str">
        <f t="shared" si="36"/>
        <v>201418</v>
      </c>
      <c r="E1182" s="22" t="str">
        <f t="shared" ca="1" si="37"/>
        <v>201405</v>
      </c>
      <c r="F1182" s="22">
        <v>2014</v>
      </c>
    </row>
    <row r="1183" spans="1:6" ht="15.75">
      <c r="A1183" s="22" t="s">
        <v>1441</v>
      </c>
      <c r="B1183" s="26">
        <v>41764</v>
      </c>
      <c r="C1183" s="27">
        <v>0</v>
      </c>
      <c r="D1183" s="25" t="str">
        <f t="shared" si="36"/>
        <v>201419</v>
      </c>
      <c r="E1183" s="22" t="str">
        <f t="shared" ca="1" si="37"/>
        <v>201405</v>
      </c>
      <c r="F1183" s="22">
        <v>2014</v>
      </c>
    </row>
    <row r="1184" spans="1:6" ht="15.75">
      <c r="A1184" s="22" t="s">
        <v>1441</v>
      </c>
      <c r="B1184" s="26">
        <v>41765</v>
      </c>
      <c r="C1184" s="27">
        <v>0</v>
      </c>
      <c r="D1184" s="25" t="str">
        <f t="shared" si="36"/>
        <v>201419</v>
      </c>
      <c r="E1184" s="22" t="str">
        <f t="shared" ca="1" si="37"/>
        <v>201405</v>
      </c>
      <c r="F1184" s="22">
        <v>2014</v>
      </c>
    </row>
    <row r="1185" spans="1:6" ht="15.75">
      <c r="A1185" s="22" t="s">
        <v>1441</v>
      </c>
      <c r="B1185" s="26">
        <v>41766</v>
      </c>
      <c r="C1185" s="27">
        <v>0</v>
      </c>
      <c r="D1185" s="25" t="str">
        <f t="shared" si="36"/>
        <v>201419</v>
      </c>
      <c r="E1185" s="22" t="str">
        <f t="shared" ca="1" si="37"/>
        <v>201405</v>
      </c>
      <c r="F1185" s="22">
        <v>2014</v>
      </c>
    </row>
    <row r="1186" spans="1:6" ht="15.75">
      <c r="A1186" s="22" t="s">
        <v>1441</v>
      </c>
      <c r="B1186" s="26">
        <v>41767</v>
      </c>
      <c r="C1186" s="27">
        <v>0</v>
      </c>
      <c r="D1186" s="25" t="str">
        <f t="shared" si="36"/>
        <v>201419</v>
      </c>
      <c r="E1186" s="22" t="str">
        <f t="shared" ca="1" si="37"/>
        <v>201405</v>
      </c>
      <c r="F1186" s="22">
        <v>2014</v>
      </c>
    </row>
    <row r="1187" spans="1:6" ht="15.75">
      <c r="A1187" s="22" t="s">
        <v>1441</v>
      </c>
      <c r="B1187" s="26">
        <v>41768</v>
      </c>
      <c r="C1187" s="27">
        <v>0</v>
      </c>
      <c r="D1187" s="25" t="str">
        <f t="shared" si="36"/>
        <v>201419</v>
      </c>
      <c r="E1187" s="22" t="str">
        <f t="shared" ca="1" si="37"/>
        <v>201405</v>
      </c>
      <c r="F1187" s="22">
        <v>2014</v>
      </c>
    </row>
    <row r="1188" spans="1:6" ht="15.75">
      <c r="A1188" s="22" t="s">
        <v>1441</v>
      </c>
      <c r="B1188" s="26">
        <v>41769</v>
      </c>
      <c r="C1188" s="27">
        <v>0</v>
      </c>
      <c r="D1188" s="25" t="str">
        <f t="shared" si="36"/>
        <v>201419</v>
      </c>
      <c r="E1188" s="22" t="str">
        <f t="shared" ca="1" si="37"/>
        <v>201405</v>
      </c>
      <c r="F1188" s="22">
        <v>2014</v>
      </c>
    </row>
    <row r="1189" spans="1:6" ht="15.75">
      <c r="A1189" s="22" t="s">
        <v>1441</v>
      </c>
      <c r="B1189" s="26">
        <v>41770</v>
      </c>
      <c r="C1189" s="27">
        <v>0</v>
      </c>
      <c r="D1189" s="25" t="str">
        <f t="shared" si="36"/>
        <v>201419</v>
      </c>
      <c r="E1189" s="22" t="str">
        <f t="shared" ca="1" si="37"/>
        <v>201405</v>
      </c>
      <c r="F1189" s="22">
        <v>2014</v>
      </c>
    </row>
    <row r="1190" spans="1:6" ht="15.75">
      <c r="A1190" s="22" t="s">
        <v>1441</v>
      </c>
      <c r="B1190" s="26">
        <v>41771</v>
      </c>
      <c r="C1190" s="27">
        <v>0</v>
      </c>
      <c r="D1190" s="25" t="str">
        <f t="shared" si="36"/>
        <v>201420</v>
      </c>
      <c r="E1190" s="22" t="str">
        <f t="shared" ca="1" si="37"/>
        <v>201405</v>
      </c>
      <c r="F1190" s="22">
        <v>2014</v>
      </c>
    </row>
    <row r="1191" spans="1:6" ht="15.75">
      <c r="A1191" s="22" t="s">
        <v>1441</v>
      </c>
      <c r="B1191" s="26">
        <v>41772</v>
      </c>
      <c r="C1191" s="27">
        <v>0</v>
      </c>
      <c r="D1191" s="25" t="str">
        <f t="shared" si="36"/>
        <v>201420</v>
      </c>
      <c r="E1191" s="22" t="str">
        <f t="shared" ca="1" si="37"/>
        <v>201405</v>
      </c>
      <c r="F1191" s="22">
        <v>2014</v>
      </c>
    </row>
    <row r="1192" spans="1:6" ht="15.75">
      <c r="A1192" s="22" t="s">
        <v>1441</v>
      </c>
      <c r="B1192" s="26">
        <v>41773</v>
      </c>
      <c r="C1192" s="27">
        <v>22.12</v>
      </c>
      <c r="D1192" s="25" t="str">
        <f t="shared" si="36"/>
        <v>201420</v>
      </c>
      <c r="E1192" s="22" t="str">
        <f t="shared" ca="1" si="37"/>
        <v>201405</v>
      </c>
      <c r="F1192" s="22">
        <v>2014</v>
      </c>
    </row>
    <row r="1193" spans="1:6" ht="15.75">
      <c r="A1193" s="22" t="s">
        <v>1441</v>
      </c>
      <c r="B1193" s="26">
        <v>41774</v>
      </c>
      <c r="C1193" s="27">
        <v>21.95</v>
      </c>
      <c r="D1193" s="25" t="str">
        <f t="shared" si="36"/>
        <v>201420</v>
      </c>
      <c r="E1193" s="22" t="str">
        <f t="shared" ca="1" si="37"/>
        <v>201405</v>
      </c>
      <c r="F1193" s="22">
        <v>2014</v>
      </c>
    </row>
    <row r="1194" spans="1:6" ht="15.75">
      <c r="A1194" s="22" t="s">
        <v>1441</v>
      </c>
      <c r="B1194" s="26">
        <v>41775</v>
      </c>
      <c r="C1194" s="27">
        <v>7.91</v>
      </c>
      <c r="D1194" s="25" t="str">
        <f t="shared" si="36"/>
        <v>201420</v>
      </c>
      <c r="E1194" s="22" t="str">
        <f t="shared" ca="1" si="37"/>
        <v>201405</v>
      </c>
      <c r="F1194" s="22">
        <v>2014</v>
      </c>
    </row>
    <row r="1195" spans="1:6" ht="15.75">
      <c r="A1195" s="22" t="s">
        <v>1441</v>
      </c>
      <c r="B1195" s="26">
        <v>41776</v>
      </c>
      <c r="C1195" s="27">
        <v>0.09</v>
      </c>
      <c r="D1195" s="25" t="str">
        <f t="shared" si="36"/>
        <v>201420</v>
      </c>
      <c r="E1195" s="22" t="str">
        <f t="shared" ca="1" si="37"/>
        <v>201405</v>
      </c>
      <c r="F1195" s="22">
        <v>2014</v>
      </c>
    </row>
    <row r="1196" spans="1:6" ht="15.75">
      <c r="A1196" s="22" t="s">
        <v>1441</v>
      </c>
      <c r="B1196" s="26">
        <v>41777</v>
      </c>
      <c r="C1196" s="27">
        <v>1.54</v>
      </c>
      <c r="D1196" s="25" t="str">
        <f t="shared" si="36"/>
        <v>201420</v>
      </c>
      <c r="E1196" s="22" t="str">
        <f t="shared" ca="1" si="37"/>
        <v>201405</v>
      </c>
      <c r="F1196" s="22">
        <v>2014</v>
      </c>
    </row>
    <row r="1197" spans="1:6" ht="15.75">
      <c r="A1197" s="22" t="s">
        <v>1441</v>
      </c>
      <c r="B1197" s="26">
        <v>41778</v>
      </c>
      <c r="C1197" s="27">
        <v>27.15</v>
      </c>
      <c r="D1197" s="25" t="str">
        <f t="shared" si="36"/>
        <v>201421</v>
      </c>
      <c r="E1197" s="22" t="str">
        <f t="shared" ca="1" si="37"/>
        <v>201405</v>
      </c>
      <c r="F1197" s="22">
        <v>2014</v>
      </c>
    </row>
    <row r="1198" spans="1:6" ht="15.75">
      <c r="A1198" s="22" t="s">
        <v>1441</v>
      </c>
      <c r="B1198" s="26">
        <v>41779</v>
      </c>
      <c r="C1198" s="27">
        <v>28.62</v>
      </c>
      <c r="D1198" s="25" t="str">
        <f t="shared" si="36"/>
        <v>201421</v>
      </c>
      <c r="E1198" s="22" t="str">
        <f t="shared" ca="1" si="37"/>
        <v>201405</v>
      </c>
      <c r="F1198" s="22">
        <v>2014</v>
      </c>
    </row>
    <row r="1199" spans="1:6" ht="15.75">
      <c r="A1199" s="22" t="s">
        <v>1441</v>
      </c>
      <c r="B1199" s="26">
        <v>41780</v>
      </c>
      <c r="C1199" s="27">
        <v>23.93</v>
      </c>
      <c r="D1199" s="25" t="str">
        <f t="shared" si="36"/>
        <v>201421</v>
      </c>
      <c r="E1199" s="22" t="str">
        <f t="shared" ca="1" si="37"/>
        <v>201405</v>
      </c>
      <c r="F1199" s="22">
        <v>2014</v>
      </c>
    </row>
    <row r="1200" spans="1:6" ht="15.75">
      <c r="A1200" s="22" t="s">
        <v>1441</v>
      </c>
      <c r="B1200" s="26">
        <v>41781</v>
      </c>
      <c r="C1200" s="27">
        <v>49.83</v>
      </c>
      <c r="D1200" s="25" t="str">
        <f t="shared" si="36"/>
        <v>201421</v>
      </c>
      <c r="E1200" s="22" t="str">
        <f t="shared" ca="1" si="37"/>
        <v>201405</v>
      </c>
      <c r="F1200" s="22">
        <v>2014</v>
      </c>
    </row>
    <row r="1201" spans="1:6" ht="15.75">
      <c r="A1201" s="22" t="s">
        <v>1441</v>
      </c>
      <c r="B1201" s="26">
        <v>41782</v>
      </c>
      <c r="C1201" s="27">
        <v>21.6</v>
      </c>
      <c r="D1201" s="25" t="str">
        <f t="shared" si="36"/>
        <v>201421</v>
      </c>
      <c r="E1201" s="22" t="str">
        <f t="shared" ca="1" si="37"/>
        <v>201405</v>
      </c>
      <c r="F1201" s="22">
        <v>2014</v>
      </c>
    </row>
    <row r="1202" spans="1:6" ht="15.75">
      <c r="A1202" s="22" t="s">
        <v>1441</v>
      </c>
      <c r="B1202" s="26">
        <v>41783</v>
      </c>
      <c r="C1202" s="27">
        <v>11.1</v>
      </c>
      <c r="D1202" s="25" t="str">
        <f t="shared" si="36"/>
        <v>201421</v>
      </c>
      <c r="E1202" s="22" t="str">
        <f t="shared" ca="1" si="37"/>
        <v>201405</v>
      </c>
      <c r="F1202" s="22">
        <v>2014</v>
      </c>
    </row>
    <row r="1203" spans="1:6" ht="15.75">
      <c r="A1203" s="22" t="s">
        <v>1441</v>
      </c>
      <c r="B1203" s="26">
        <v>41784</v>
      </c>
      <c r="C1203" s="27">
        <v>21.25</v>
      </c>
      <c r="D1203" s="25" t="str">
        <f t="shared" si="36"/>
        <v>201421</v>
      </c>
      <c r="E1203" s="22" t="str">
        <f t="shared" ca="1" si="37"/>
        <v>201405</v>
      </c>
      <c r="F1203" s="22">
        <v>2014</v>
      </c>
    </row>
    <row r="1204" spans="1:6" ht="15.75">
      <c r="A1204" s="22" t="s">
        <v>1441</v>
      </c>
      <c r="B1204" s="26">
        <v>41785</v>
      </c>
      <c r="C1204" s="27">
        <v>38.909999999999997</v>
      </c>
      <c r="D1204" s="25" t="str">
        <f t="shared" si="36"/>
        <v>201422</v>
      </c>
      <c r="E1204" s="22" t="str">
        <f t="shared" ca="1" si="37"/>
        <v>201405</v>
      </c>
      <c r="F1204" s="22">
        <v>2014</v>
      </c>
    </row>
    <row r="1205" spans="1:6" ht="15.75">
      <c r="A1205" s="22" t="s">
        <v>1441</v>
      </c>
      <c r="B1205" s="26">
        <v>41786</v>
      </c>
      <c r="C1205" s="27">
        <v>17.350000000000001</v>
      </c>
      <c r="D1205" s="25" t="str">
        <f t="shared" si="36"/>
        <v>201422</v>
      </c>
      <c r="E1205" s="22" t="str">
        <f t="shared" ca="1" si="37"/>
        <v>201405</v>
      </c>
      <c r="F1205" s="22">
        <v>2014</v>
      </c>
    </row>
    <row r="1206" spans="1:6" ht="15.75">
      <c r="A1206" s="22" t="s">
        <v>1441</v>
      </c>
      <c r="B1206" s="26">
        <v>41787</v>
      </c>
      <c r="C1206" s="27">
        <v>17.36</v>
      </c>
      <c r="D1206" s="25" t="str">
        <f t="shared" si="36"/>
        <v>201422</v>
      </c>
      <c r="E1206" s="22" t="str">
        <f t="shared" ca="1" si="37"/>
        <v>201405</v>
      </c>
      <c r="F1206" s="22">
        <v>2014</v>
      </c>
    </row>
    <row r="1207" spans="1:6" ht="15.75">
      <c r="A1207" s="22" t="s">
        <v>1441</v>
      </c>
      <c r="B1207" s="26">
        <v>41788</v>
      </c>
      <c r="C1207" s="27">
        <v>0</v>
      </c>
      <c r="D1207" s="25" t="str">
        <f t="shared" si="36"/>
        <v>201422</v>
      </c>
      <c r="E1207" s="22" t="str">
        <f t="shared" ca="1" si="37"/>
        <v>201405</v>
      </c>
      <c r="F1207" s="22">
        <v>2014</v>
      </c>
    </row>
    <row r="1208" spans="1:6" ht="15.75">
      <c r="A1208" s="22" t="s">
        <v>1441</v>
      </c>
      <c r="B1208" s="26">
        <v>41789</v>
      </c>
      <c r="C1208" s="27">
        <v>0</v>
      </c>
      <c r="D1208" s="25" t="str">
        <f t="shared" si="36"/>
        <v>201422</v>
      </c>
      <c r="E1208" s="22" t="str">
        <f t="shared" ca="1" si="37"/>
        <v>201405</v>
      </c>
      <c r="F1208" s="22">
        <v>2014</v>
      </c>
    </row>
    <row r="1209" spans="1:6" ht="15.75">
      <c r="A1209" s="22" t="s">
        <v>1441</v>
      </c>
      <c r="B1209" s="26">
        <v>41790</v>
      </c>
      <c r="C1209" s="27">
        <v>0</v>
      </c>
      <c r="D1209" s="25" t="str">
        <f t="shared" si="36"/>
        <v>201422</v>
      </c>
      <c r="E1209" s="22" t="str">
        <f t="shared" ca="1" si="37"/>
        <v>201405</v>
      </c>
      <c r="F1209" s="22">
        <v>2014</v>
      </c>
    </row>
    <row r="1210" spans="1:6" ht="15.75">
      <c r="A1210" s="22" t="s">
        <v>1441</v>
      </c>
      <c r="B1210" s="26">
        <v>41791</v>
      </c>
      <c r="C1210" s="27">
        <v>0</v>
      </c>
      <c r="D1210" s="25" t="str">
        <f t="shared" si="36"/>
        <v>201422</v>
      </c>
      <c r="E1210" s="22" t="str">
        <f t="shared" ca="1" si="37"/>
        <v>201406</v>
      </c>
      <c r="F1210" s="22">
        <v>2014</v>
      </c>
    </row>
    <row r="1211" spans="1:6" ht="15.75">
      <c r="A1211" s="22" t="s">
        <v>1441</v>
      </c>
      <c r="B1211" s="26">
        <v>41792</v>
      </c>
      <c r="C1211" s="27">
        <v>0</v>
      </c>
      <c r="D1211" s="25" t="str">
        <f t="shared" si="36"/>
        <v>201423</v>
      </c>
      <c r="E1211" s="22" t="str">
        <f t="shared" ca="1" si="37"/>
        <v>201406</v>
      </c>
      <c r="F1211" s="22">
        <v>2014</v>
      </c>
    </row>
    <row r="1212" spans="1:6" ht="15.75">
      <c r="A1212" s="22" t="s">
        <v>1441</v>
      </c>
      <c r="B1212" s="26">
        <v>41793</v>
      </c>
      <c r="C1212" s="27">
        <v>0</v>
      </c>
      <c r="D1212" s="25" t="str">
        <f t="shared" si="36"/>
        <v>201423</v>
      </c>
      <c r="E1212" s="22" t="str">
        <f t="shared" ca="1" si="37"/>
        <v>201406</v>
      </c>
      <c r="F1212" s="22">
        <v>2014</v>
      </c>
    </row>
    <row r="1213" spans="1:6" ht="15.75">
      <c r="A1213" s="22" t="s">
        <v>1441</v>
      </c>
      <c r="B1213" s="26">
        <v>41794</v>
      </c>
      <c r="C1213" s="27">
        <v>0</v>
      </c>
      <c r="D1213" s="25" t="str">
        <f t="shared" si="36"/>
        <v>201423</v>
      </c>
      <c r="E1213" s="22" t="str">
        <f t="shared" ca="1" si="37"/>
        <v>201406</v>
      </c>
      <c r="F1213" s="22">
        <v>2014</v>
      </c>
    </row>
    <row r="1214" spans="1:6" ht="15.75">
      <c r="A1214" s="22" t="s">
        <v>1441</v>
      </c>
      <c r="B1214" s="26">
        <v>41795</v>
      </c>
      <c r="C1214" s="27">
        <v>0</v>
      </c>
      <c r="D1214" s="25" t="str">
        <f t="shared" si="36"/>
        <v>201423</v>
      </c>
      <c r="E1214" s="22" t="str">
        <f t="shared" ca="1" si="37"/>
        <v>201406</v>
      </c>
      <c r="F1214" s="22">
        <v>2014</v>
      </c>
    </row>
    <row r="1215" spans="1:6" ht="15.75">
      <c r="A1215" s="22" t="s">
        <v>1441</v>
      </c>
      <c r="B1215" s="26">
        <v>41796</v>
      </c>
      <c r="C1215" s="27">
        <v>0</v>
      </c>
      <c r="D1215" s="25" t="str">
        <f t="shared" si="36"/>
        <v>201423</v>
      </c>
      <c r="E1215" s="22" t="str">
        <f t="shared" ca="1" si="37"/>
        <v>201406</v>
      </c>
      <c r="F1215" s="22">
        <v>2014</v>
      </c>
    </row>
    <row r="1216" spans="1:6" ht="15.75">
      <c r="A1216" s="22" t="s">
        <v>1441</v>
      </c>
      <c r="B1216" s="26">
        <v>41797</v>
      </c>
      <c r="C1216" s="27">
        <v>0</v>
      </c>
      <c r="D1216" s="25" t="str">
        <f t="shared" si="36"/>
        <v>201423</v>
      </c>
      <c r="E1216" s="22" t="str">
        <f t="shared" ca="1" si="37"/>
        <v>201406</v>
      </c>
      <c r="F1216" s="22">
        <v>2014</v>
      </c>
    </row>
    <row r="1217" spans="1:6" ht="15.75">
      <c r="A1217" s="22" t="s">
        <v>1441</v>
      </c>
      <c r="B1217" s="26">
        <v>41798</v>
      </c>
      <c r="C1217" s="27">
        <v>0</v>
      </c>
      <c r="D1217" s="25" t="str">
        <f t="shared" si="36"/>
        <v>201423</v>
      </c>
      <c r="E1217" s="22" t="str">
        <f t="shared" ca="1" si="37"/>
        <v>201406</v>
      </c>
      <c r="F1217" s="22">
        <v>2014</v>
      </c>
    </row>
    <row r="1218" spans="1:6" ht="15.75">
      <c r="A1218" s="22" t="s">
        <v>1441</v>
      </c>
      <c r="B1218" s="26">
        <v>41799</v>
      </c>
      <c r="C1218" s="27">
        <v>0</v>
      </c>
      <c r="D1218" s="25" t="str">
        <f t="shared" si="36"/>
        <v>201424</v>
      </c>
      <c r="E1218" s="22" t="str">
        <f t="shared" ca="1" si="37"/>
        <v>201406</v>
      </c>
      <c r="F1218" s="22">
        <v>2014</v>
      </c>
    </row>
    <row r="1219" spans="1:6" ht="15.75">
      <c r="A1219" s="22" t="s">
        <v>1441</v>
      </c>
      <c r="B1219" s="26">
        <v>41800</v>
      </c>
      <c r="C1219" s="27">
        <v>0</v>
      </c>
      <c r="D1219" s="25" t="str">
        <f t="shared" ref="D1219:D1282" si="38">CONCATENATE(YEAR(B1219-WEEKDAY(B1219,3)+3),TEXT(WEEKNUM(B1219,21),"00"))</f>
        <v>201424</v>
      </c>
      <c r="E1219" s="22" t="str">
        <f t="shared" ref="E1219:E1282" ca="1" si="39">IF(
  AND(
    YEAR(B1219)=YEAR(TODAY())-1,
    MONTH(B1219)=MONTH(TODAY()),
    DAY(B1219)&gt;DAY($H$2)
  ),
  0,
  CONCATENATE(YEAR(B1219),TEXT(MONTH(B1219),"00"))
)</f>
        <v>201406</v>
      </c>
      <c r="F1219" s="22">
        <v>2014</v>
      </c>
    </row>
    <row r="1220" spans="1:6" ht="15.75">
      <c r="A1220" s="22" t="s">
        <v>1441</v>
      </c>
      <c r="B1220" s="26">
        <v>41801</v>
      </c>
      <c r="C1220" s="27">
        <v>0</v>
      </c>
      <c r="D1220" s="25" t="str">
        <f t="shared" si="38"/>
        <v>201424</v>
      </c>
      <c r="E1220" s="22" t="str">
        <f t="shared" ca="1" si="39"/>
        <v>201406</v>
      </c>
      <c r="F1220" s="22">
        <v>2014</v>
      </c>
    </row>
    <row r="1221" spans="1:6" ht="15.75">
      <c r="A1221" s="22" t="s">
        <v>1441</v>
      </c>
      <c r="B1221" s="26">
        <v>41802</v>
      </c>
      <c r="C1221" s="27">
        <v>0</v>
      </c>
      <c r="D1221" s="25" t="str">
        <f t="shared" si="38"/>
        <v>201424</v>
      </c>
      <c r="E1221" s="22" t="str">
        <f t="shared" ca="1" si="39"/>
        <v>201406</v>
      </c>
      <c r="F1221" s="22">
        <v>2014</v>
      </c>
    </row>
    <row r="1222" spans="1:6" ht="15.75">
      <c r="A1222" s="22" t="s">
        <v>1441</v>
      </c>
      <c r="B1222" s="26">
        <v>41803</v>
      </c>
      <c r="C1222" s="27">
        <v>0</v>
      </c>
      <c r="D1222" s="25" t="str">
        <f t="shared" si="38"/>
        <v>201424</v>
      </c>
      <c r="E1222" s="22" t="str">
        <f t="shared" ca="1" si="39"/>
        <v>201406</v>
      </c>
      <c r="F1222" s="22">
        <v>2014</v>
      </c>
    </row>
    <row r="1223" spans="1:6" ht="15.75">
      <c r="A1223" s="22" t="s">
        <v>1441</v>
      </c>
      <c r="B1223" s="26">
        <v>41804</v>
      </c>
      <c r="C1223" s="27">
        <v>0</v>
      </c>
      <c r="D1223" s="25" t="str">
        <f t="shared" si="38"/>
        <v>201424</v>
      </c>
      <c r="E1223" s="22" t="str">
        <f t="shared" ca="1" si="39"/>
        <v>201406</v>
      </c>
      <c r="F1223" s="22">
        <v>2014</v>
      </c>
    </row>
    <row r="1224" spans="1:6" ht="15.75">
      <c r="A1224" s="22" t="s">
        <v>1441</v>
      </c>
      <c r="B1224" s="26">
        <v>41805</v>
      </c>
      <c r="C1224" s="27">
        <v>0</v>
      </c>
      <c r="D1224" s="25" t="str">
        <f t="shared" si="38"/>
        <v>201424</v>
      </c>
      <c r="E1224" s="22" t="str">
        <f t="shared" ca="1" si="39"/>
        <v>201406</v>
      </c>
      <c r="F1224" s="22">
        <v>2014</v>
      </c>
    </row>
    <row r="1225" spans="1:6" ht="15.75">
      <c r="A1225" s="22" t="s">
        <v>1441</v>
      </c>
      <c r="B1225" s="26">
        <v>41806</v>
      </c>
      <c r="C1225" s="27">
        <v>0</v>
      </c>
      <c r="D1225" s="25" t="str">
        <f t="shared" si="38"/>
        <v>201425</v>
      </c>
      <c r="E1225" s="22" t="str">
        <f t="shared" ca="1" si="39"/>
        <v>201406</v>
      </c>
      <c r="F1225" s="22">
        <v>2014</v>
      </c>
    </row>
    <row r="1226" spans="1:6" ht="15.75">
      <c r="A1226" s="22" t="s">
        <v>1441</v>
      </c>
      <c r="B1226" s="26">
        <v>41807</v>
      </c>
      <c r="C1226" s="27">
        <v>0</v>
      </c>
      <c r="D1226" s="25" t="str">
        <f t="shared" si="38"/>
        <v>201425</v>
      </c>
      <c r="E1226" s="22" t="str">
        <f t="shared" ca="1" si="39"/>
        <v>201406</v>
      </c>
      <c r="F1226" s="22">
        <v>2014</v>
      </c>
    </row>
    <row r="1227" spans="1:6" ht="15.75">
      <c r="A1227" s="22" t="s">
        <v>1441</v>
      </c>
      <c r="B1227" s="26">
        <v>41808</v>
      </c>
      <c r="C1227" s="27">
        <v>0</v>
      </c>
      <c r="D1227" s="25" t="str">
        <f t="shared" si="38"/>
        <v>201425</v>
      </c>
      <c r="E1227" s="22" t="str">
        <f t="shared" ca="1" si="39"/>
        <v>201406</v>
      </c>
      <c r="F1227" s="22">
        <v>2014</v>
      </c>
    </row>
    <row r="1228" spans="1:6" ht="15.75">
      <c r="A1228" s="22" t="s">
        <v>1441</v>
      </c>
      <c r="B1228" s="26">
        <v>41809</v>
      </c>
      <c r="C1228" s="27">
        <v>0</v>
      </c>
      <c r="D1228" s="25" t="str">
        <f t="shared" si="38"/>
        <v>201425</v>
      </c>
      <c r="E1228" s="22" t="str">
        <f t="shared" ca="1" si="39"/>
        <v>201406</v>
      </c>
      <c r="F1228" s="22">
        <v>2014</v>
      </c>
    </row>
    <row r="1229" spans="1:6" ht="15.75">
      <c r="A1229" s="22" t="s">
        <v>1441</v>
      </c>
      <c r="B1229" s="26">
        <v>41810</v>
      </c>
      <c r="C1229" s="27">
        <v>0</v>
      </c>
      <c r="D1229" s="25" t="str">
        <f t="shared" si="38"/>
        <v>201425</v>
      </c>
      <c r="E1229" s="22" t="str">
        <f t="shared" ca="1" si="39"/>
        <v>201406</v>
      </c>
      <c r="F1229" s="22">
        <v>2014</v>
      </c>
    </row>
    <row r="1230" spans="1:6" ht="15.75">
      <c r="A1230" s="22" t="s">
        <v>1441</v>
      </c>
      <c r="B1230" s="26">
        <v>41811</v>
      </c>
      <c r="C1230" s="27">
        <v>0</v>
      </c>
      <c r="D1230" s="25" t="str">
        <f t="shared" si="38"/>
        <v>201425</v>
      </c>
      <c r="E1230" s="22" t="str">
        <f t="shared" ca="1" si="39"/>
        <v>201406</v>
      </c>
      <c r="F1230" s="22">
        <v>2014</v>
      </c>
    </row>
    <row r="1231" spans="1:6" ht="15.75">
      <c r="A1231" s="22" t="s">
        <v>1441</v>
      </c>
      <c r="B1231" s="26">
        <v>41812</v>
      </c>
      <c r="C1231" s="27">
        <v>0</v>
      </c>
      <c r="D1231" s="25" t="str">
        <f t="shared" si="38"/>
        <v>201425</v>
      </c>
      <c r="E1231" s="22" t="str">
        <f t="shared" ca="1" si="39"/>
        <v>201406</v>
      </c>
      <c r="F1231" s="22">
        <v>2014</v>
      </c>
    </row>
    <row r="1232" spans="1:6" ht="15.75">
      <c r="A1232" s="22" t="s">
        <v>1441</v>
      </c>
      <c r="B1232" s="26">
        <v>41813</v>
      </c>
      <c r="C1232" s="27">
        <v>0</v>
      </c>
      <c r="D1232" s="25" t="str">
        <f t="shared" si="38"/>
        <v>201426</v>
      </c>
      <c r="E1232" s="22" t="str">
        <f t="shared" ca="1" si="39"/>
        <v>201406</v>
      </c>
      <c r="F1232" s="22">
        <v>2014</v>
      </c>
    </row>
    <row r="1233" spans="1:6" ht="15.75">
      <c r="A1233" s="22" t="s">
        <v>1441</v>
      </c>
      <c r="B1233" s="26">
        <v>41814</v>
      </c>
      <c r="C1233" s="27">
        <v>0</v>
      </c>
      <c r="D1233" s="25" t="str">
        <f t="shared" si="38"/>
        <v>201426</v>
      </c>
      <c r="E1233" s="22" t="str">
        <f t="shared" ca="1" si="39"/>
        <v>201406</v>
      </c>
      <c r="F1233" s="22">
        <v>2014</v>
      </c>
    </row>
    <row r="1234" spans="1:6" ht="15.75">
      <c r="A1234" s="22" t="s">
        <v>1441</v>
      </c>
      <c r="B1234" s="26">
        <v>41815</v>
      </c>
      <c r="C1234" s="27">
        <v>0</v>
      </c>
      <c r="D1234" s="25" t="str">
        <f t="shared" si="38"/>
        <v>201426</v>
      </c>
      <c r="E1234" s="22" t="str">
        <f t="shared" ca="1" si="39"/>
        <v>201406</v>
      </c>
      <c r="F1234" s="22">
        <v>2014</v>
      </c>
    </row>
    <row r="1235" spans="1:6" ht="15.75">
      <c r="A1235" s="22" t="s">
        <v>1441</v>
      </c>
      <c r="B1235" s="26">
        <v>41816</v>
      </c>
      <c r="C1235" s="27">
        <v>0</v>
      </c>
      <c r="D1235" s="25" t="str">
        <f t="shared" si="38"/>
        <v>201426</v>
      </c>
      <c r="E1235" s="22" t="str">
        <f t="shared" ca="1" si="39"/>
        <v>201406</v>
      </c>
      <c r="F1235" s="22">
        <v>2014</v>
      </c>
    </row>
    <row r="1236" spans="1:6" ht="15.75">
      <c r="A1236" s="22" t="s">
        <v>1441</v>
      </c>
      <c r="B1236" s="26">
        <v>41817</v>
      </c>
      <c r="C1236" s="27">
        <v>0</v>
      </c>
      <c r="D1236" s="25" t="str">
        <f t="shared" si="38"/>
        <v>201426</v>
      </c>
      <c r="E1236" s="22" t="str">
        <f t="shared" ca="1" si="39"/>
        <v>201406</v>
      </c>
      <c r="F1236" s="22">
        <v>2014</v>
      </c>
    </row>
    <row r="1237" spans="1:6" ht="15.75">
      <c r="A1237" s="22" t="s">
        <v>1441</v>
      </c>
      <c r="B1237" s="26">
        <v>41818</v>
      </c>
      <c r="C1237" s="27">
        <v>0</v>
      </c>
      <c r="D1237" s="25" t="str">
        <f t="shared" si="38"/>
        <v>201426</v>
      </c>
      <c r="E1237" s="22" t="str">
        <f t="shared" ca="1" si="39"/>
        <v>201406</v>
      </c>
      <c r="F1237" s="22">
        <v>2014</v>
      </c>
    </row>
    <row r="1238" spans="1:6" ht="15.75">
      <c r="A1238" s="22" t="s">
        <v>1441</v>
      </c>
      <c r="B1238" s="26">
        <v>41819</v>
      </c>
      <c r="C1238" s="27">
        <v>0</v>
      </c>
      <c r="D1238" s="25" t="str">
        <f t="shared" si="38"/>
        <v>201426</v>
      </c>
      <c r="E1238" s="22" t="str">
        <f t="shared" ca="1" si="39"/>
        <v>201406</v>
      </c>
      <c r="F1238" s="22">
        <v>2014</v>
      </c>
    </row>
    <row r="1239" spans="1:6" ht="15.75">
      <c r="A1239" s="22" t="s">
        <v>1441</v>
      </c>
      <c r="B1239" s="26">
        <v>41820</v>
      </c>
      <c r="C1239" s="27">
        <v>0</v>
      </c>
      <c r="D1239" s="25" t="str">
        <f t="shared" si="38"/>
        <v>201427</v>
      </c>
      <c r="E1239" s="22" t="str">
        <f t="shared" ca="1" si="39"/>
        <v>201406</v>
      </c>
      <c r="F1239" s="22">
        <v>2014</v>
      </c>
    </row>
    <row r="1240" spans="1:6" ht="15.75">
      <c r="A1240" s="22" t="s">
        <v>1441</v>
      </c>
      <c r="B1240" s="26">
        <v>41821</v>
      </c>
      <c r="C1240" s="27">
        <v>0</v>
      </c>
      <c r="D1240" s="25" t="str">
        <f t="shared" si="38"/>
        <v>201427</v>
      </c>
      <c r="E1240" s="22" t="str">
        <f t="shared" ca="1" si="39"/>
        <v>201407</v>
      </c>
      <c r="F1240" s="22">
        <v>2014</v>
      </c>
    </row>
    <row r="1241" spans="1:6" ht="15.75">
      <c r="A1241" s="22" t="s">
        <v>1441</v>
      </c>
      <c r="B1241" s="26">
        <v>41822</v>
      </c>
      <c r="C1241" s="27">
        <v>0</v>
      </c>
      <c r="D1241" s="25" t="str">
        <f t="shared" si="38"/>
        <v>201427</v>
      </c>
      <c r="E1241" s="22" t="str">
        <f t="shared" ca="1" si="39"/>
        <v>201407</v>
      </c>
      <c r="F1241" s="22">
        <v>2014</v>
      </c>
    </row>
    <row r="1242" spans="1:6" ht="15.75">
      <c r="A1242" s="22" t="s">
        <v>1441</v>
      </c>
      <c r="B1242" s="26">
        <v>41823</v>
      </c>
      <c r="C1242" s="27">
        <v>0</v>
      </c>
      <c r="D1242" s="25" t="str">
        <f t="shared" si="38"/>
        <v>201427</v>
      </c>
      <c r="E1242" s="22" t="str">
        <f t="shared" ca="1" si="39"/>
        <v>201407</v>
      </c>
      <c r="F1242" s="22">
        <v>2014</v>
      </c>
    </row>
    <row r="1243" spans="1:6" ht="15.75">
      <c r="A1243" s="22" t="s">
        <v>1441</v>
      </c>
      <c r="B1243" s="26">
        <v>41824</v>
      </c>
      <c r="C1243" s="27">
        <v>0</v>
      </c>
      <c r="D1243" s="25" t="str">
        <f t="shared" si="38"/>
        <v>201427</v>
      </c>
      <c r="E1243" s="22" t="str">
        <f t="shared" ca="1" si="39"/>
        <v>201407</v>
      </c>
      <c r="F1243" s="22">
        <v>2014</v>
      </c>
    </row>
    <row r="1244" spans="1:6" ht="15.75">
      <c r="A1244" s="22" t="s">
        <v>1441</v>
      </c>
      <c r="B1244" s="26">
        <v>41825</v>
      </c>
      <c r="C1244" s="27">
        <v>0</v>
      </c>
      <c r="D1244" s="25" t="str">
        <f t="shared" si="38"/>
        <v>201427</v>
      </c>
      <c r="E1244" s="22" t="str">
        <f t="shared" ca="1" si="39"/>
        <v>201407</v>
      </c>
      <c r="F1244" s="22">
        <v>2014</v>
      </c>
    </row>
    <row r="1245" spans="1:6" ht="15.75">
      <c r="A1245" s="22" t="s">
        <v>1441</v>
      </c>
      <c r="B1245" s="26">
        <v>41826</v>
      </c>
      <c r="C1245" s="27">
        <v>0</v>
      </c>
      <c r="D1245" s="25" t="str">
        <f t="shared" si="38"/>
        <v>201427</v>
      </c>
      <c r="E1245" s="22" t="str">
        <f t="shared" ca="1" si="39"/>
        <v>201407</v>
      </c>
      <c r="F1245" s="22">
        <v>2014</v>
      </c>
    </row>
    <row r="1246" spans="1:6" ht="15.75">
      <c r="A1246" s="22" t="s">
        <v>1441</v>
      </c>
      <c r="B1246" s="26">
        <v>41827</v>
      </c>
      <c r="C1246" s="27">
        <v>0</v>
      </c>
      <c r="D1246" s="25" t="str">
        <f t="shared" si="38"/>
        <v>201428</v>
      </c>
      <c r="E1246" s="22" t="str">
        <f t="shared" ca="1" si="39"/>
        <v>201407</v>
      </c>
      <c r="F1246" s="22">
        <v>2014</v>
      </c>
    </row>
    <row r="1247" spans="1:6" ht="15.75">
      <c r="A1247" s="22" t="s">
        <v>1441</v>
      </c>
      <c r="B1247" s="26">
        <v>41828</v>
      </c>
      <c r="C1247" s="27">
        <v>0</v>
      </c>
      <c r="D1247" s="25" t="str">
        <f t="shared" si="38"/>
        <v>201428</v>
      </c>
      <c r="E1247" s="22" t="str">
        <f t="shared" ca="1" si="39"/>
        <v>201407</v>
      </c>
      <c r="F1247" s="22">
        <v>2014</v>
      </c>
    </row>
    <row r="1248" spans="1:6" ht="15.75">
      <c r="A1248" s="22" t="s">
        <v>1441</v>
      </c>
      <c r="B1248" s="26">
        <v>41829</v>
      </c>
      <c r="C1248" s="27">
        <v>0</v>
      </c>
      <c r="D1248" s="25" t="str">
        <f t="shared" si="38"/>
        <v>201428</v>
      </c>
      <c r="E1248" s="22" t="str">
        <f t="shared" ca="1" si="39"/>
        <v>201407</v>
      </c>
      <c r="F1248" s="22">
        <v>2014</v>
      </c>
    </row>
    <row r="1249" spans="1:6" ht="15.75">
      <c r="A1249" s="22" t="s">
        <v>1441</v>
      </c>
      <c r="B1249" s="26">
        <v>41830</v>
      </c>
      <c r="C1249" s="27">
        <v>0</v>
      </c>
      <c r="D1249" s="25" t="str">
        <f t="shared" si="38"/>
        <v>201428</v>
      </c>
      <c r="E1249" s="22" t="str">
        <f t="shared" ca="1" si="39"/>
        <v>201407</v>
      </c>
      <c r="F1249" s="22">
        <v>2014</v>
      </c>
    </row>
    <row r="1250" spans="1:6" ht="15.75">
      <c r="A1250" s="22" t="s">
        <v>1441</v>
      </c>
      <c r="B1250" s="26">
        <v>41831</v>
      </c>
      <c r="C1250" s="27">
        <v>0</v>
      </c>
      <c r="D1250" s="25" t="str">
        <f t="shared" si="38"/>
        <v>201428</v>
      </c>
      <c r="E1250" s="22" t="str">
        <f t="shared" ca="1" si="39"/>
        <v>201407</v>
      </c>
      <c r="F1250" s="22">
        <v>2014</v>
      </c>
    </row>
    <row r="1251" spans="1:6" ht="15.75">
      <c r="A1251" s="22" t="s">
        <v>1441</v>
      </c>
      <c r="B1251" s="26">
        <v>41832</v>
      </c>
      <c r="C1251" s="27">
        <v>0</v>
      </c>
      <c r="D1251" s="25" t="str">
        <f t="shared" si="38"/>
        <v>201428</v>
      </c>
      <c r="E1251" s="22" t="str">
        <f t="shared" ca="1" si="39"/>
        <v>201407</v>
      </c>
      <c r="F1251" s="22">
        <v>2014</v>
      </c>
    </row>
    <row r="1252" spans="1:6" ht="15.75">
      <c r="A1252" s="22" t="s">
        <v>1441</v>
      </c>
      <c r="B1252" s="26">
        <v>41833</v>
      </c>
      <c r="C1252" s="27">
        <v>0</v>
      </c>
      <c r="D1252" s="25" t="str">
        <f t="shared" si="38"/>
        <v>201428</v>
      </c>
      <c r="E1252" s="22" t="str">
        <f t="shared" ca="1" si="39"/>
        <v>201407</v>
      </c>
      <c r="F1252" s="22">
        <v>2014</v>
      </c>
    </row>
    <row r="1253" spans="1:6" ht="15.75">
      <c r="A1253" s="22" t="s">
        <v>1441</v>
      </c>
      <c r="B1253" s="26">
        <v>41834</v>
      </c>
      <c r="C1253" s="27">
        <v>0</v>
      </c>
      <c r="D1253" s="25" t="str">
        <f t="shared" si="38"/>
        <v>201429</v>
      </c>
      <c r="E1253" s="22" t="str">
        <f t="shared" ca="1" si="39"/>
        <v>201407</v>
      </c>
      <c r="F1253" s="22">
        <v>2014</v>
      </c>
    </row>
    <row r="1254" spans="1:6" ht="15.75">
      <c r="A1254" s="22" t="s">
        <v>1441</v>
      </c>
      <c r="B1254" s="26">
        <v>41835</v>
      </c>
      <c r="C1254" s="27">
        <v>0</v>
      </c>
      <c r="D1254" s="25" t="str">
        <f t="shared" si="38"/>
        <v>201429</v>
      </c>
      <c r="E1254" s="22" t="str">
        <f t="shared" ca="1" si="39"/>
        <v>201407</v>
      </c>
      <c r="F1254" s="22">
        <v>2014</v>
      </c>
    </row>
    <row r="1255" spans="1:6" ht="15.75">
      <c r="A1255" s="22" t="s">
        <v>1441</v>
      </c>
      <c r="B1255" s="26">
        <v>41836</v>
      </c>
      <c r="C1255" s="27">
        <v>0</v>
      </c>
      <c r="D1255" s="25" t="str">
        <f t="shared" si="38"/>
        <v>201429</v>
      </c>
      <c r="E1255" s="22" t="str">
        <f t="shared" ca="1" si="39"/>
        <v>201407</v>
      </c>
      <c r="F1255" s="22">
        <v>2014</v>
      </c>
    </row>
    <row r="1256" spans="1:6" ht="15.75">
      <c r="A1256" s="22" t="s">
        <v>1441</v>
      </c>
      <c r="B1256" s="26">
        <v>41837</v>
      </c>
      <c r="C1256" s="27">
        <v>0</v>
      </c>
      <c r="D1256" s="25" t="str">
        <f t="shared" si="38"/>
        <v>201429</v>
      </c>
      <c r="E1256" s="22" t="str">
        <f t="shared" ca="1" si="39"/>
        <v>201407</v>
      </c>
      <c r="F1256" s="22">
        <v>2014</v>
      </c>
    </row>
    <row r="1257" spans="1:6" ht="15.75">
      <c r="A1257" s="22" t="s">
        <v>1441</v>
      </c>
      <c r="B1257" s="26">
        <v>41838</v>
      </c>
      <c r="C1257" s="27">
        <v>0</v>
      </c>
      <c r="D1257" s="25" t="str">
        <f t="shared" si="38"/>
        <v>201429</v>
      </c>
      <c r="E1257" s="22" t="str">
        <f t="shared" ca="1" si="39"/>
        <v>201407</v>
      </c>
      <c r="F1257" s="22">
        <v>2014</v>
      </c>
    </row>
    <row r="1258" spans="1:6" ht="15.75">
      <c r="A1258" s="22" t="s">
        <v>1441</v>
      </c>
      <c r="B1258" s="26">
        <v>41839</v>
      </c>
      <c r="C1258" s="27">
        <v>0</v>
      </c>
      <c r="D1258" s="25" t="str">
        <f t="shared" si="38"/>
        <v>201429</v>
      </c>
      <c r="E1258" s="22" t="str">
        <f t="shared" ca="1" si="39"/>
        <v>201407</v>
      </c>
      <c r="F1258" s="22">
        <v>2014</v>
      </c>
    </row>
    <row r="1259" spans="1:6" ht="15.75">
      <c r="A1259" s="22" t="s">
        <v>1441</v>
      </c>
      <c r="B1259" s="26">
        <v>41840</v>
      </c>
      <c r="C1259" s="27">
        <v>0</v>
      </c>
      <c r="D1259" s="25" t="str">
        <f t="shared" si="38"/>
        <v>201429</v>
      </c>
      <c r="E1259" s="22" t="str">
        <f t="shared" ca="1" si="39"/>
        <v>201407</v>
      </c>
      <c r="F1259" s="22">
        <v>2014</v>
      </c>
    </row>
    <row r="1260" spans="1:6" ht="15.75">
      <c r="A1260" s="22" t="s">
        <v>1441</v>
      </c>
      <c r="B1260" s="26">
        <v>41841</v>
      </c>
      <c r="C1260" s="27">
        <v>0</v>
      </c>
      <c r="D1260" s="25" t="str">
        <f t="shared" si="38"/>
        <v>201430</v>
      </c>
      <c r="E1260" s="22" t="str">
        <f t="shared" ca="1" si="39"/>
        <v>201407</v>
      </c>
      <c r="F1260" s="22">
        <v>2014</v>
      </c>
    </row>
    <row r="1261" spans="1:6" ht="15.75">
      <c r="A1261" s="22" t="s">
        <v>1441</v>
      </c>
      <c r="B1261" s="26">
        <v>41842</v>
      </c>
      <c r="C1261" s="27">
        <v>0</v>
      </c>
      <c r="D1261" s="25" t="str">
        <f t="shared" si="38"/>
        <v>201430</v>
      </c>
      <c r="E1261" s="22" t="str">
        <f t="shared" ca="1" si="39"/>
        <v>201407</v>
      </c>
      <c r="F1261" s="22">
        <v>2014</v>
      </c>
    </row>
    <row r="1262" spans="1:6" ht="15.75">
      <c r="A1262" s="22" t="s">
        <v>1441</v>
      </c>
      <c r="B1262" s="26">
        <v>41843</v>
      </c>
      <c r="C1262" s="27">
        <v>0</v>
      </c>
      <c r="D1262" s="25" t="str">
        <f t="shared" si="38"/>
        <v>201430</v>
      </c>
      <c r="E1262" s="22" t="str">
        <f t="shared" ca="1" si="39"/>
        <v>201407</v>
      </c>
      <c r="F1262" s="22">
        <v>2014</v>
      </c>
    </row>
    <row r="1263" spans="1:6" ht="15.75">
      <c r="A1263" s="22" t="s">
        <v>1441</v>
      </c>
      <c r="B1263" s="26">
        <v>41844</v>
      </c>
      <c r="C1263" s="27">
        <v>0</v>
      </c>
      <c r="D1263" s="25" t="str">
        <f t="shared" si="38"/>
        <v>201430</v>
      </c>
      <c r="E1263" s="22" t="str">
        <f t="shared" ca="1" si="39"/>
        <v>201407</v>
      </c>
      <c r="F1263" s="22">
        <v>2014</v>
      </c>
    </row>
    <row r="1264" spans="1:6" ht="15.75">
      <c r="A1264" s="22" t="s">
        <v>1441</v>
      </c>
      <c r="B1264" s="26">
        <v>41845</v>
      </c>
      <c r="C1264" s="27">
        <v>0</v>
      </c>
      <c r="D1264" s="25" t="str">
        <f t="shared" si="38"/>
        <v>201430</v>
      </c>
      <c r="E1264" s="22" t="str">
        <f t="shared" ca="1" si="39"/>
        <v>201407</v>
      </c>
      <c r="F1264" s="22">
        <v>2014</v>
      </c>
    </row>
    <row r="1265" spans="1:6" ht="15.75">
      <c r="A1265" s="22" t="s">
        <v>1441</v>
      </c>
      <c r="B1265" s="26">
        <v>41846</v>
      </c>
      <c r="C1265" s="27">
        <v>0</v>
      </c>
      <c r="D1265" s="25" t="str">
        <f t="shared" si="38"/>
        <v>201430</v>
      </c>
      <c r="E1265" s="22" t="str">
        <f t="shared" ca="1" si="39"/>
        <v>201407</v>
      </c>
      <c r="F1265" s="22">
        <v>2014</v>
      </c>
    </row>
    <row r="1266" spans="1:6" ht="15.75">
      <c r="A1266" s="22" t="s">
        <v>1441</v>
      </c>
      <c r="B1266" s="26">
        <v>41847</v>
      </c>
      <c r="C1266" s="27">
        <v>0</v>
      </c>
      <c r="D1266" s="25" t="str">
        <f t="shared" si="38"/>
        <v>201430</v>
      </c>
      <c r="E1266" s="22" t="str">
        <f t="shared" ca="1" si="39"/>
        <v>201407</v>
      </c>
      <c r="F1266" s="22">
        <v>2014</v>
      </c>
    </row>
    <row r="1267" spans="1:6" ht="15.75">
      <c r="A1267" s="22" t="s">
        <v>1441</v>
      </c>
      <c r="B1267" s="26">
        <v>41848</v>
      </c>
      <c r="C1267" s="27">
        <v>0</v>
      </c>
      <c r="D1267" s="25" t="str">
        <f t="shared" si="38"/>
        <v>201431</v>
      </c>
      <c r="E1267" s="22" t="str">
        <f t="shared" ca="1" si="39"/>
        <v>201407</v>
      </c>
      <c r="F1267" s="22">
        <v>2014</v>
      </c>
    </row>
    <row r="1268" spans="1:6" ht="15.75">
      <c r="A1268" s="22" t="s">
        <v>1441</v>
      </c>
      <c r="B1268" s="26">
        <v>41849</v>
      </c>
      <c r="C1268" s="27">
        <v>0</v>
      </c>
      <c r="D1268" s="25" t="str">
        <f t="shared" si="38"/>
        <v>201431</v>
      </c>
      <c r="E1268" s="22" t="str">
        <f t="shared" ca="1" si="39"/>
        <v>201407</v>
      </c>
      <c r="F1268" s="22">
        <v>2014</v>
      </c>
    </row>
    <row r="1269" spans="1:6" ht="15.75">
      <c r="A1269" s="22" t="s">
        <v>1441</v>
      </c>
      <c r="B1269" s="26">
        <v>41850</v>
      </c>
      <c r="C1269" s="27">
        <v>0</v>
      </c>
      <c r="D1269" s="25" t="str">
        <f t="shared" si="38"/>
        <v>201431</v>
      </c>
      <c r="E1269" s="22" t="str">
        <f t="shared" ca="1" si="39"/>
        <v>201407</v>
      </c>
      <c r="F1269" s="22">
        <v>2014</v>
      </c>
    </row>
    <row r="1270" spans="1:6" ht="15.75">
      <c r="A1270" s="22" t="s">
        <v>1441</v>
      </c>
      <c r="B1270" s="26">
        <v>41851</v>
      </c>
      <c r="C1270" s="27">
        <v>0</v>
      </c>
      <c r="D1270" s="25" t="str">
        <f t="shared" si="38"/>
        <v>201431</v>
      </c>
      <c r="E1270" s="22" t="str">
        <f t="shared" ca="1" si="39"/>
        <v>201407</v>
      </c>
      <c r="F1270" s="22">
        <v>2014</v>
      </c>
    </row>
    <row r="1271" spans="1:6" ht="15.75">
      <c r="A1271" s="22" t="s">
        <v>1441</v>
      </c>
      <c r="B1271" s="26">
        <v>41852</v>
      </c>
      <c r="C1271" s="27">
        <v>0</v>
      </c>
      <c r="D1271" s="25" t="str">
        <f t="shared" si="38"/>
        <v>201431</v>
      </c>
      <c r="E1271" s="22" t="str">
        <f t="shared" ca="1" si="39"/>
        <v>201408</v>
      </c>
      <c r="F1271" s="22">
        <v>2014</v>
      </c>
    </row>
    <row r="1272" spans="1:6" ht="15.75">
      <c r="A1272" s="22" t="s">
        <v>1441</v>
      </c>
      <c r="B1272" s="26">
        <v>41853</v>
      </c>
      <c r="C1272" s="27">
        <v>0</v>
      </c>
      <c r="D1272" s="25" t="str">
        <f t="shared" si="38"/>
        <v>201431</v>
      </c>
      <c r="E1272" s="22" t="str">
        <f t="shared" ca="1" si="39"/>
        <v>201408</v>
      </c>
      <c r="F1272" s="22">
        <v>2014</v>
      </c>
    </row>
    <row r="1273" spans="1:6" ht="15.75">
      <c r="A1273" s="22" t="s">
        <v>1441</v>
      </c>
      <c r="B1273" s="26">
        <v>41854</v>
      </c>
      <c r="C1273" s="27">
        <v>0</v>
      </c>
      <c r="D1273" s="25" t="str">
        <f t="shared" si="38"/>
        <v>201431</v>
      </c>
      <c r="E1273" s="22" t="str">
        <f t="shared" ca="1" si="39"/>
        <v>201408</v>
      </c>
      <c r="F1273" s="22">
        <v>2014</v>
      </c>
    </row>
    <row r="1274" spans="1:6" ht="15.75">
      <c r="A1274" s="22" t="s">
        <v>1441</v>
      </c>
      <c r="B1274" s="26">
        <v>41855</v>
      </c>
      <c r="C1274" s="27">
        <v>0</v>
      </c>
      <c r="D1274" s="25" t="str">
        <f t="shared" si="38"/>
        <v>201432</v>
      </c>
      <c r="E1274" s="22" t="str">
        <f t="shared" ca="1" si="39"/>
        <v>201408</v>
      </c>
      <c r="F1274" s="22">
        <v>2014</v>
      </c>
    </row>
    <row r="1275" spans="1:6" ht="15.75">
      <c r="A1275" s="22" t="s">
        <v>1441</v>
      </c>
      <c r="B1275" s="26">
        <v>41856</v>
      </c>
      <c r="C1275" s="27">
        <v>0</v>
      </c>
      <c r="D1275" s="25" t="str">
        <f t="shared" si="38"/>
        <v>201432</v>
      </c>
      <c r="E1275" s="22" t="str">
        <f t="shared" ca="1" si="39"/>
        <v>201408</v>
      </c>
      <c r="F1275" s="22">
        <v>2014</v>
      </c>
    </row>
    <row r="1276" spans="1:6" ht="15.75">
      <c r="A1276" s="22" t="s">
        <v>1441</v>
      </c>
      <c r="B1276" s="26">
        <v>41857</v>
      </c>
      <c r="C1276" s="27">
        <v>0</v>
      </c>
      <c r="D1276" s="25" t="str">
        <f t="shared" si="38"/>
        <v>201432</v>
      </c>
      <c r="E1276" s="22" t="str">
        <f t="shared" ca="1" si="39"/>
        <v>201408</v>
      </c>
      <c r="F1276" s="22">
        <v>2014</v>
      </c>
    </row>
    <row r="1277" spans="1:6" ht="15.75">
      <c r="A1277" s="22" t="s">
        <v>1441</v>
      </c>
      <c r="B1277" s="26">
        <v>41858</v>
      </c>
      <c r="C1277" s="27">
        <v>0</v>
      </c>
      <c r="D1277" s="25" t="str">
        <f t="shared" si="38"/>
        <v>201432</v>
      </c>
      <c r="E1277" s="22" t="str">
        <f t="shared" ca="1" si="39"/>
        <v>201408</v>
      </c>
      <c r="F1277" s="22">
        <v>2014</v>
      </c>
    </row>
    <row r="1278" spans="1:6" ht="15.75">
      <c r="A1278" s="22" t="s">
        <v>1441</v>
      </c>
      <c r="B1278" s="26">
        <v>41859</v>
      </c>
      <c r="C1278" s="27">
        <v>0</v>
      </c>
      <c r="D1278" s="25" t="str">
        <f t="shared" si="38"/>
        <v>201432</v>
      </c>
      <c r="E1278" s="22" t="str">
        <f t="shared" ca="1" si="39"/>
        <v>201408</v>
      </c>
      <c r="F1278" s="22">
        <v>2014</v>
      </c>
    </row>
    <row r="1279" spans="1:6" ht="15.75">
      <c r="A1279" s="22" t="s">
        <v>1441</v>
      </c>
      <c r="B1279" s="26">
        <v>41860</v>
      </c>
      <c r="C1279" s="27">
        <v>0</v>
      </c>
      <c r="D1279" s="25" t="str">
        <f t="shared" si="38"/>
        <v>201432</v>
      </c>
      <c r="E1279" s="22" t="str">
        <f t="shared" ca="1" si="39"/>
        <v>201408</v>
      </c>
      <c r="F1279" s="22">
        <v>2014</v>
      </c>
    </row>
    <row r="1280" spans="1:6" ht="15.75">
      <c r="A1280" s="22" t="s">
        <v>1441</v>
      </c>
      <c r="B1280" s="26">
        <v>41861</v>
      </c>
      <c r="C1280" s="27">
        <v>0</v>
      </c>
      <c r="D1280" s="25" t="str">
        <f t="shared" si="38"/>
        <v>201432</v>
      </c>
      <c r="E1280" s="22" t="str">
        <f t="shared" ca="1" si="39"/>
        <v>201408</v>
      </c>
      <c r="F1280" s="22">
        <v>2014</v>
      </c>
    </row>
    <row r="1281" spans="1:6" ht="15.75">
      <c r="A1281" s="22" t="s">
        <v>1441</v>
      </c>
      <c r="B1281" s="26">
        <v>41862</v>
      </c>
      <c r="C1281" s="27">
        <v>0</v>
      </c>
      <c r="D1281" s="25" t="str">
        <f t="shared" si="38"/>
        <v>201433</v>
      </c>
      <c r="E1281" s="22" t="str">
        <f t="shared" ca="1" si="39"/>
        <v>201408</v>
      </c>
      <c r="F1281" s="22">
        <v>2014</v>
      </c>
    </row>
    <row r="1282" spans="1:6" ht="15.75">
      <c r="A1282" s="22" t="s">
        <v>1441</v>
      </c>
      <c r="B1282" s="26">
        <v>41863</v>
      </c>
      <c r="C1282" s="27">
        <v>0</v>
      </c>
      <c r="D1282" s="25" t="str">
        <f t="shared" si="38"/>
        <v>201433</v>
      </c>
      <c r="E1282" s="22" t="str">
        <f t="shared" ca="1" si="39"/>
        <v>201408</v>
      </c>
      <c r="F1282" s="22">
        <v>2014</v>
      </c>
    </row>
    <row r="1283" spans="1:6" ht="15.75">
      <c r="A1283" s="22" t="s">
        <v>1441</v>
      </c>
      <c r="B1283" s="26">
        <v>41864</v>
      </c>
      <c r="C1283" s="27">
        <v>0</v>
      </c>
      <c r="D1283" s="25" t="str">
        <f t="shared" ref="D1283:D1346" si="40">CONCATENATE(YEAR(B1283-WEEKDAY(B1283,3)+3),TEXT(WEEKNUM(B1283,21),"00"))</f>
        <v>201433</v>
      </c>
      <c r="E1283" s="22" t="str">
        <f t="shared" ref="E1283:E1346" ca="1" si="41">IF(
  AND(
    YEAR(B1283)=YEAR(TODAY())-1,
    MONTH(B1283)=MONTH(TODAY()),
    DAY(B1283)&gt;DAY($H$2)
  ),
  0,
  CONCATENATE(YEAR(B1283),TEXT(MONTH(B1283),"00"))
)</f>
        <v>201408</v>
      </c>
      <c r="F1283" s="22">
        <v>2014</v>
      </c>
    </row>
    <row r="1284" spans="1:6" ht="15.75">
      <c r="A1284" s="22" t="s">
        <v>1441</v>
      </c>
      <c r="B1284" s="26">
        <v>41865</v>
      </c>
      <c r="C1284" s="27">
        <v>0</v>
      </c>
      <c r="D1284" s="25" t="str">
        <f t="shared" si="40"/>
        <v>201433</v>
      </c>
      <c r="E1284" s="22" t="str">
        <f t="shared" ca="1" si="41"/>
        <v>201408</v>
      </c>
      <c r="F1284" s="22">
        <v>2014</v>
      </c>
    </row>
    <row r="1285" spans="1:6" ht="15.75">
      <c r="A1285" s="22" t="s">
        <v>1441</v>
      </c>
      <c r="B1285" s="26">
        <v>41866</v>
      </c>
      <c r="C1285" s="27">
        <v>1.32</v>
      </c>
      <c r="D1285" s="25" t="str">
        <f t="shared" si="40"/>
        <v>201433</v>
      </c>
      <c r="E1285" s="22" t="str">
        <f t="shared" ca="1" si="41"/>
        <v>201408</v>
      </c>
      <c r="F1285" s="22">
        <v>2014</v>
      </c>
    </row>
    <row r="1286" spans="1:6" ht="15.75">
      <c r="A1286" s="22" t="s">
        <v>1441</v>
      </c>
      <c r="B1286" s="26">
        <v>41867</v>
      </c>
      <c r="C1286" s="27">
        <v>4.26</v>
      </c>
      <c r="D1286" s="25" t="str">
        <f t="shared" si="40"/>
        <v>201433</v>
      </c>
      <c r="E1286" s="22" t="str">
        <f t="shared" ca="1" si="41"/>
        <v>201408</v>
      </c>
      <c r="F1286" s="22">
        <v>2014</v>
      </c>
    </row>
    <row r="1287" spans="1:6" ht="15.75">
      <c r="A1287" s="22" t="s">
        <v>1441</v>
      </c>
      <c r="B1287" s="26">
        <v>41868</v>
      </c>
      <c r="C1287" s="27">
        <v>3.92</v>
      </c>
      <c r="D1287" s="25" t="str">
        <f t="shared" si="40"/>
        <v>201433</v>
      </c>
      <c r="E1287" s="22" t="str">
        <f t="shared" ca="1" si="41"/>
        <v>201408</v>
      </c>
      <c r="F1287" s="22">
        <v>2014</v>
      </c>
    </row>
    <row r="1288" spans="1:6" ht="15.75">
      <c r="A1288" s="22" t="s">
        <v>1441</v>
      </c>
      <c r="B1288" s="26">
        <v>41869</v>
      </c>
      <c r="C1288" s="27">
        <v>2.5</v>
      </c>
      <c r="D1288" s="25" t="str">
        <f t="shared" si="40"/>
        <v>201434</v>
      </c>
      <c r="E1288" s="22" t="str">
        <f t="shared" ca="1" si="41"/>
        <v>201408</v>
      </c>
      <c r="F1288" s="22">
        <v>2014</v>
      </c>
    </row>
    <row r="1289" spans="1:6" ht="15.75">
      <c r="A1289" s="22" t="s">
        <v>1441</v>
      </c>
      <c r="B1289" s="26">
        <v>41870</v>
      </c>
      <c r="C1289" s="27">
        <v>0</v>
      </c>
      <c r="D1289" s="25" t="str">
        <f t="shared" si="40"/>
        <v>201434</v>
      </c>
      <c r="E1289" s="22" t="str">
        <f t="shared" ca="1" si="41"/>
        <v>201408</v>
      </c>
      <c r="F1289" s="22">
        <v>2014</v>
      </c>
    </row>
    <row r="1290" spans="1:6" ht="15.75">
      <c r="A1290" s="22" t="s">
        <v>1441</v>
      </c>
      <c r="B1290" s="26">
        <v>41871</v>
      </c>
      <c r="C1290" s="27">
        <v>0</v>
      </c>
      <c r="D1290" s="25" t="str">
        <f t="shared" si="40"/>
        <v>201434</v>
      </c>
      <c r="E1290" s="22" t="str">
        <f t="shared" ca="1" si="41"/>
        <v>201408</v>
      </c>
      <c r="F1290" s="22">
        <v>2014</v>
      </c>
    </row>
    <row r="1291" spans="1:6" ht="15.75">
      <c r="A1291" s="22" t="s">
        <v>1441</v>
      </c>
      <c r="B1291" s="26">
        <v>41872</v>
      </c>
      <c r="C1291" s="27">
        <v>0</v>
      </c>
      <c r="D1291" s="25" t="str">
        <f t="shared" si="40"/>
        <v>201434</v>
      </c>
      <c r="E1291" s="22" t="str">
        <f t="shared" ca="1" si="41"/>
        <v>201408</v>
      </c>
      <c r="F1291" s="22">
        <v>2014</v>
      </c>
    </row>
    <row r="1292" spans="1:6" ht="15.75">
      <c r="A1292" s="22" t="s">
        <v>1441</v>
      </c>
      <c r="B1292" s="26">
        <v>41873</v>
      </c>
      <c r="C1292" s="27">
        <v>0</v>
      </c>
      <c r="D1292" s="25" t="str">
        <f t="shared" si="40"/>
        <v>201434</v>
      </c>
      <c r="E1292" s="22" t="str">
        <f t="shared" ca="1" si="41"/>
        <v>201408</v>
      </c>
      <c r="F1292" s="22">
        <v>2014</v>
      </c>
    </row>
    <row r="1293" spans="1:6" ht="15.75">
      <c r="A1293" s="22" t="s">
        <v>1441</v>
      </c>
      <c r="B1293" s="26">
        <v>41874</v>
      </c>
      <c r="C1293" s="27">
        <v>0</v>
      </c>
      <c r="D1293" s="25" t="str">
        <f t="shared" si="40"/>
        <v>201434</v>
      </c>
      <c r="E1293" s="22" t="str">
        <f t="shared" ca="1" si="41"/>
        <v>201408</v>
      </c>
      <c r="F1293" s="22">
        <v>2014</v>
      </c>
    </row>
    <row r="1294" spans="1:6" ht="15.75">
      <c r="A1294" s="22" t="s">
        <v>1441</v>
      </c>
      <c r="B1294" s="26">
        <v>41875</v>
      </c>
      <c r="C1294" s="27">
        <v>0</v>
      </c>
      <c r="D1294" s="25" t="str">
        <f t="shared" si="40"/>
        <v>201434</v>
      </c>
      <c r="E1294" s="22" t="str">
        <f t="shared" ca="1" si="41"/>
        <v>201408</v>
      </c>
      <c r="F1294" s="22">
        <v>2014</v>
      </c>
    </row>
    <row r="1295" spans="1:6" ht="15.75">
      <c r="A1295" s="22" t="s">
        <v>1441</v>
      </c>
      <c r="B1295" s="26">
        <v>41876</v>
      </c>
      <c r="C1295" s="27">
        <v>0</v>
      </c>
      <c r="D1295" s="25" t="str">
        <f t="shared" si="40"/>
        <v>201435</v>
      </c>
      <c r="E1295" s="22" t="str">
        <f t="shared" ca="1" si="41"/>
        <v>201408</v>
      </c>
      <c r="F1295" s="22">
        <v>2014</v>
      </c>
    </row>
    <row r="1296" spans="1:6" ht="15.75">
      <c r="A1296" s="22" t="s">
        <v>1441</v>
      </c>
      <c r="B1296" s="26">
        <v>41877</v>
      </c>
      <c r="C1296" s="27">
        <v>0</v>
      </c>
      <c r="D1296" s="25" t="str">
        <f t="shared" si="40"/>
        <v>201435</v>
      </c>
      <c r="E1296" s="22" t="str">
        <f t="shared" ca="1" si="41"/>
        <v>201408</v>
      </c>
      <c r="F1296" s="22">
        <v>2014</v>
      </c>
    </row>
    <row r="1297" spans="1:6" ht="15.75">
      <c r="A1297" s="22" t="s">
        <v>1441</v>
      </c>
      <c r="B1297" s="26">
        <v>41878</v>
      </c>
      <c r="C1297" s="27">
        <v>0</v>
      </c>
      <c r="D1297" s="25" t="str">
        <f t="shared" si="40"/>
        <v>201435</v>
      </c>
      <c r="E1297" s="22" t="str">
        <f t="shared" ca="1" si="41"/>
        <v>201408</v>
      </c>
      <c r="F1297" s="22">
        <v>2014</v>
      </c>
    </row>
    <row r="1298" spans="1:6" ht="15.75">
      <c r="A1298" s="22" t="s">
        <v>1441</v>
      </c>
      <c r="B1298" s="26">
        <v>41879</v>
      </c>
      <c r="C1298" s="27">
        <v>0</v>
      </c>
      <c r="D1298" s="25" t="str">
        <f t="shared" si="40"/>
        <v>201435</v>
      </c>
      <c r="E1298" s="22" t="str">
        <f t="shared" ca="1" si="41"/>
        <v>201408</v>
      </c>
      <c r="F1298" s="22">
        <v>2014</v>
      </c>
    </row>
    <row r="1299" spans="1:6" ht="15.75">
      <c r="A1299" s="22" t="s">
        <v>1441</v>
      </c>
      <c r="B1299" s="26">
        <v>41880</v>
      </c>
      <c r="C1299" s="27">
        <v>0</v>
      </c>
      <c r="D1299" s="25" t="str">
        <f t="shared" si="40"/>
        <v>201435</v>
      </c>
      <c r="E1299" s="22" t="str">
        <f t="shared" ca="1" si="41"/>
        <v>201408</v>
      </c>
      <c r="F1299" s="22">
        <v>2014</v>
      </c>
    </row>
    <row r="1300" spans="1:6" ht="15.75">
      <c r="A1300" s="22" t="s">
        <v>1441</v>
      </c>
      <c r="B1300" s="26">
        <v>41881</v>
      </c>
      <c r="C1300" s="27">
        <v>0</v>
      </c>
      <c r="D1300" s="25" t="str">
        <f t="shared" si="40"/>
        <v>201435</v>
      </c>
      <c r="E1300" s="22" t="str">
        <f t="shared" ca="1" si="41"/>
        <v>201408</v>
      </c>
      <c r="F1300" s="22">
        <v>2014</v>
      </c>
    </row>
    <row r="1301" spans="1:6" ht="15.75">
      <c r="A1301" s="22" t="s">
        <v>1441</v>
      </c>
      <c r="B1301" s="26">
        <v>41882</v>
      </c>
      <c r="C1301" s="27">
        <v>0</v>
      </c>
      <c r="D1301" s="25" t="str">
        <f t="shared" si="40"/>
        <v>201435</v>
      </c>
      <c r="E1301" s="22" t="str">
        <f t="shared" ca="1" si="41"/>
        <v>201408</v>
      </c>
      <c r="F1301" s="22">
        <v>2014</v>
      </c>
    </row>
    <row r="1302" spans="1:6" ht="15.75">
      <c r="A1302" s="22" t="s">
        <v>1441</v>
      </c>
      <c r="B1302" s="26">
        <v>41883</v>
      </c>
      <c r="C1302" s="27">
        <v>0</v>
      </c>
      <c r="D1302" s="25" t="str">
        <f t="shared" si="40"/>
        <v>201436</v>
      </c>
      <c r="E1302" s="22" t="str">
        <f t="shared" ca="1" si="41"/>
        <v>201409</v>
      </c>
      <c r="F1302" s="22">
        <v>2014</v>
      </c>
    </row>
    <row r="1303" spans="1:6" ht="15.75">
      <c r="A1303" s="22" t="s">
        <v>1441</v>
      </c>
      <c r="B1303" s="26">
        <v>41884</v>
      </c>
      <c r="C1303" s="27">
        <v>3.26</v>
      </c>
      <c r="D1303" s="25" t="str">
        <f t="shared" si="40"/>
        <v>201436</v>
      </c>
      <c r="E1303" s="22" t="str">
        <f t="shared" ca="1" si="41"/>
        <v>201409</v>
      </c>
      <c r="F1303" s="22">
        <v>2014</v>
      </c>
    </row>
    <row r="1304" spans="1:6" ht="15.75">
      <c r="A1304" s="22" t="s">
        <v>1441</v>
      </c>
      <c r="B1304" s="26">
        <v>41885</v>
      </c>
      <c r="C1304" s="27">
        <v>8.74</v>
      </c>
      <c r="D1304" s="25" t="str">
        <f t="shared" si="40"/>
        <v>201436</v>
      </c>
      <c r="E1304" s="22" t="str">
        <f t="shared" ca="1" si="41"/>
        <v>201409</v>
      </c>
      <c r="F1304" s="22">
        <v>2014</v>
      </c>
    </row>
    <row r="1305" spans="1:6" ht="15.75">
      <c r="A1305" s="22" t="s">
        <v>1441</v>
      </c>
      <c r="B1305" s="26">
        <v>41886</v>
      </c>
      <c r="C1305" s="27">
        <v>0</v>
      </c>
      <c r="D1305" s="25" t="str">
        <f t="shared" si="40"/>
        <v>201436</v>
      </c>
      <c r="E1305" s="22" t="str">
        <f t="shared" ca="1" si="41"/>
        <v>201409</v>
      </c>
      <c r="F1305" s="22">
        <v>2014</v>
      </c>
    </row>
    <row r="1306" spans="1:6" ht="15.75">
      <c r="A1306" s="22" t="s">
        <v>1441</v>
      </c>
      <c r="B1306" s="26">
        <v>41887</v>
      </c>
      <c r="C1306" s="27">
        <v>0</v>
      </c>
      <c r="D1306" s="25" t="str">
        <f t="shared" si="40"/>
        <v>201436</v>
      </c>
      <c r="E1306" s="22" t="str">
        <f t="shared" ca="1" si="41"/>
        <v>201409</v>
      </c>
      <c r="F1306" s="22">
        <v>2014</v>
      </c>
    </row>
    <row r="1307" spans="1:6" ht="15.75">
      <c r="A1307" s="22" t="s">
        <v>1441</v>
      </c>
      <c r="B1307" s="26">
        <v>41888</v>
      </c>
      <c r="C1307" s="27">
        <v>0</v>
      </c>
      <c r="D1307" s="25" t="str">
        <f t="shared" si="40"/>
        <v>201436</v>
      </c>
      <c r="E1307" s="22" t="str">
        <f t="shared" ca="1" si="41"/>
        <v>201409</v>
      </c>
      <c r="F1307" s="22">
        <v>2014</v>
      </c>
    </row>
    <row r="1308" spans="1:6" ht="15.75">
      <c r="A1308" s="22" t="s">
        <v>1441</v>
      </c>
      <c r="B1308" s="26">
        <v>41889</v>
      </c>
      <c r="C1308" s="27">
        <v>0</v>
      </c>
      <c r="D1308" s="25" t="str">
        <f t="shared" si="40"/>
        <v>201436</v>
      </c>
      <c r="E1308" s="22" t="str">
        <f t="shared" ca="1" si="41"/>
        <v>201409</v>
      </c>
      <c r="F1308" s="22">
        <v>2014</v>
      </c>
    </row>
    <row r="1309" spans="1:6" ht="15.75">
      <c r="A1309" s="22" t="s">
        <v>1441</v>
      </c>
      <c r="B1309" s="26">
        <v>41890</v>
      </c>
      <c r="C1309" s="27">
        <v>0</v>
      </c>
      <c r="D1309" s="25" t="str">
        <f t="shared" si="40"/>
        <v>201437</v>
      </c>
      <c r="E1309" s="22" t="str">
        <f t="shared" ca="1" si="41"/>
        <v>201409</v>
      </c>
      <c r="F1309" s="22">
        <v>2014</v>
      </c>
    </row>
    <row r="1310" spans="1:6" ht="15.75">
      <c r="A1310" s="22" t="s">
        <v>1441</v>
      </c>
      <c r="B1310" s="26">
        <v>41891</v>
      </c>
      <c r="C1310" s="27">
        <v>0</v>
      </c>
      <c r="D1310" s="25" t="str">
        <f t="shared" si="40"/>
        <v>201437</v>
      </c>
      <c r="E1310" s="22" t="str">
        <f t="shared" ca="1" si="41"/>
        <v>201409</v>
      </c>
      <c r="F1310" s="22">
        <v>2014</v>
      </c>
    </row>
    <row r="1311" spans="1:6" ht="15.75">
      <c r="A1311" s="22" t="s">
        <v>1441</v>
      </c>
      <c r="B1311" s="26">
        <v>41892</v>
      </c>
      <c r="C1311" s="27">
        <v>0</v>
      </c>
      <c r="D1311" s="25" t="str">
        <f t="shared" si="40"/>
        <v>201437</v>
      </c>
      <c r="E1311" s="22" t="str">
        <f t="shared" ca="1" si="41"/>
        <v>201409</v>
      </c>
      <c r="F1311" s="22">
        <v>2014</v>
      </c>
    </row>
    <row r="1312" spans="1:6" ht="15.75">
      <c r="A1312" s="22" t="s">
        <v>1441</v>
      </c>
      <c r="B1312" s="26">
        <v>41893</v>
      </c>
      <c r="C1312" s="27">
        <v>0</v>
      </c>
      <c r="D1312" s="25" t="str">
        <f t="shared" si="40"/>
        <v>201437</v>
      </c>
      <c r="E1312" s="22" t="str">
        <f t="shared" ca="1" si="41"/>
        <v>201409</v>
      </c>
      <c r="F1312" s="22">
        <v>2014</v>
      </c>
    </row>
    <row r="1313" spans="1:6" ht="15.75">
      <c r="A1313" s="22" t="s">
        <v>1441</v>
      </c>
      <c r="B1313" s="26">
        <v>41894</v>
      </c>
      <c r="C1313" s="27">
        <v>0</v>
      </c>
      <c r="D1313" s="25" t="str">
        <f t="shared" si="40"/>
        <v>201437</v>
      </c>
      <c r="E1313" s="22" t="str">
        <f t="shared" ca="1" si="41"/>
        <v>201409</v>
      </c>
      <c r="F1313" s="22">
        <v>2014</v>
      </c>
    </row>
    <row r="1314" spans="1:6" ht="15.75">
      <c r="A1314" s="22" t="s">
        <v>1441</v>
      </c>
      <c r="B1314" s="26">
        <v>41895</v>
      </c>
      <c r="C1314" s="27">
        <v>0</v>
      </c>
      <c r="D1314" s="25" t="str">
        <f t="shared" si="40"/>
        <v>201437</v>
      </c>
      <c r="E1314" s="22" t="str">
        <f t="shared" ca="1" si="41"/>
        <v>201409</v>
      </c>
      <c r="F1314" s="22">
        <v>2014</v>
      </c>
    </row>
    <row r="1315" spans="1:6" ht="15.75">
      <c r="A1315" s="22" t="s">
        <v>1441</v>
      </c>
      <c r="B1315" s="26">
        <v>41896</v>
      </c>
      <c r="C1315" s="27">
        <v>0</v>
      </c>
      <c r="D1315" s="25" t="str">
        <f t="shared" si="40"/>
        <v>201437</v>
      </c>
      <c r="E1315" s="22" t="str">
        <f t="shared" ca="1" si="41"/>
        <v>201409</v>
      </c>
      <c r="F1315" s="22">
        <v>2014</v>
      </c>
    </row>
    <row r="1316" spans="1:6" ht="15.75">
      <c r="A1316" s="22" t="s">
        <v>1441</v>
      </c>
      <c r="B1316" s="26">
        <v>41897</v>
      </c>
      <c r="C1316" s="27">
        <v>0</v>
      </c>
      <c r="D1316" s="25" t="str">
        <f t="shared" si="40"/>
        <v>201438</v>
      </c>
      <c r="E1316" s="22" t="str">
        <f t="shared" ca="1" si="41"/>
        <v>201409</v>
      </c>
      <c r="F1316" s="22">
        <v>2014</v>
      </c>
    </row>
    <row r="1317" spans="1:6" ht="15.75">
      <c r="A1317" s="22" t="s">
        <v>1441</v>
      </c>
      <c r="B1317" s="26">
        <v>41898</v>
      </c>
      <c r="C1317" s="27">
        <v>0</v>
      </c>
      <c r="D1317" s="25" t="str">
        <f t="shared" si="40"/>
        <v>201438</v>
      </c>
      <c r="E1317" s="22" t="str">
        <f t="shared" ca="1" si="41"/>
        <v>201409</v>
      </c>
      <c r="F1317" s="22">
        <v>2014</v>
      </c>
    </row>
    <row r="1318" spans="1:6" ht="15.75">
      <c r="A1318" s="22" t="s">
        <v>1441</v>
      </c>
      <c r="B1318" s="26">
        <v>41899</v>
      </c>
      <c r="C1318" s="27">
        <v>0</v>
      </c>
      <c r="D1318" s="25" t="str">
        <f t="shared" si="40"/>
        <v>201438</v>
      </c>
      <c r="E1318" s="22" t="str">
        <f t="shared" ca="1" si="41"/>
        <v>201409</v>
      </c>
      <c r="F1318" s="22">
        <v>2014</v>
      </c>
    </row>
    <row r="1319" spans="1:6" ht="15.75">
      <c r="A1319" s="22" t="s">
        <v>1441</v>
      </c>
      <c r="B1319" s="26">
        <v>41900</v>
      </c>
      <c r="C1319" s="27">
        <v>1.06</v>
      </c>
      <c r="D1319" s="25" t="str">
        <f t="shared" si="40"/>
        <v>201438</v>
      </c>
      <c r="E1319" s="22" t="str">
        <f t="shared" ca="1" si="41"/>
        <v>201409</v>
      </c>
      <c r="F1319" s="22">
        <v>2014</v>
      </c>
    </row>
    <row r="1320" spans="1:6" ht="15.75">
      <c r="A1320" s="22" t="s">
        <v>1441</v>
      </c>
      <c r="B1320" s="26">
        <v>41901</v>
      </c>
      <c r="C1320" s="27">
        <v>4.0999999999999996</v>
      </c>
      <c r="D1320" s="25" t="str">
        <f t="shared" si="40"/>
        <v>201438</v>
      </c>
      <c r="E1320" s="22" t="str">
        <f t="shared" ca="1" si="41"/>
        <v>201409</v>
      </c>
      <c r="F1320" s="22">
        <v>2014</v>
      </c>
    </row>
    <row r="1321" spans="1:6" ht="15.75">
      <c r="A1321" s="22" t="s">
        <v>1441</v>
      </c>
      <c r="B1321" s="26">
        <v>41902</v>
      </c>
      <c r="C1321" s="27">
        <v>4.01</v>
      </c>
      <c r="D1321" s="25" t="str">
        <f t="shared" si="40"/>
        <v>201438</v>
      </c>
      <c r="E1321" s="22" t="str">
        <f t="shared" ca="1" si="41"/>
        <v>201409</v>
      </c>
      <c r="F1321" s="22">
        <v>2014</v>
      </c>
    </row>
    <row r="1322" spans="1:6" ht="15.75">
      <c r="A1322" s="22" t="s">
        <v>1441</v>
      </c>
      <c r="B1322" s="26">
        <v>41903</v>
      </c>
      <c r="C1322" s="27">
        <v>2.72</v>
      </c>
      <c r="D1322" s="25" t="str">
        <f t="shared" si="40"/>
        <v>201438</v>
      </c>
      <c r="E1322" s="22" t="str">
        <f t="shared" ca="1" si="41"/>
        <v>201409</v>
      </c>
      <c r="F1322" s="22">
        <v>2014</v>
      </c>
    </row>
    <row r="1323" spans="1:6" ht="15.75">
      <c r="A1323" s="22" t="s">
        <v>1441</v>
      </c>
      <c r="B1323" s="26">
        <v>41904</v>
      </c>
      <c r="C1323" s="27">
        <v>0</v>
      </c>
      <c r="D1323" s="25" t="str">
        <f t="shared" si="40"/>
        <v>201439</v>
      </c>
      <c r="E1323" s="22" t="str">
        <f t="shared" ca="1" si="41"/>
        <v>201409</v>
      </c>
      <c r="F1323" s="22">
        <v>2014</v>
      </c>
    </row>
    <row r="1324" spans="1:6" ht="15.75">
      <c r="A1324" s="22" t="s">
        <v>1441</v>
      </c>
      <c r="B1324" s="26">
        <v>41905</v>
      </c>
      <c r="C1324" s="27">
        <v>0</v>
      </c>
      <c r="D1324" s="25" t="str">
        <f t="shared" si="40"/>
        <v>201439</v>
      </c>
      <c r="E1324" s="22" t="str">
        <f t="shared" ca="1" si="41"/>
        <v>201409</v>
      </c>
      <c r="F1324" s="22">
        <v>2014</v>
      </c>
    </row>
    <row r="1325" spans="1:6" ht="15.75">
      <c r="A1325" s="22" t="s">
        <v>1441</v>
      </c>
      <c r="B1325" s="26">
        <v>41906</v>
      </c>
      <c r="C1325" s="27">
        <v>0</v>
      </c>
      <c r="D1325" s="25" t="str">
        <f t="shared" si="40"/>
        <v>201439</v>
      </c>
      <c r="E1325" s="22" t="str">
        <f t="shared" ca="1" si="41"/>
        <v>201409</v>
      </c>
      <c r="F1325" s="22">
        <v>2014</v>
      </c>
    </row>
    <row r="1326" spans="1:6" ht="15.75">
      <c r="A1326" s="22" t="s">
        <v>1441</v>
      </c>
      <c r="B1326" s="26">
        <v>41907</v>
      </c>
      <c r="C1326" s="27">
        <v>0</v>
      </c>
      <c r="D1326" s="25" t="str">
        <f t="shared" si="40"/>
        <v>201439</v>
      </c>
      <c r="E1326" s="22" t="str">
        <f t="shared" ca="1" si="41"/>
        <v>201409</v>
      </c>
      <c r="F1326" s="22">
        <v>2014</v>
      </c>
    </row>
    <row r="1327" spans="1:6" ht="15.75">
      <c r="A1327" s="22" t="s">
        <v>1441</v>
      </c>
      <c r="B1327" s="26">
        <v>41908</v>
      </c>
      <c r="C1327" s="27">
        <v>0</v>
      </c>
      <c r="D1327" s="25" t="str">
        <f t="shared" si="40"/>
        <v>201439</v>
      </c>
      <c r="E1327" s="22" t="str">
        <f t="shared" ca="1" si="41"/>
        <v>201409</v>
      </c>
      <c r="F1327" s="22">
        <v>2014</v>
      </c>
    </row>
    <row r="1328" spans="1:6" ht="15.75">
      <c r="A1328" s="22" t="s">
        <v>1441</v>
      </c>
      <c r="B1328" s="26">
        <v>41909</v>
      </c>
      <c r="C1328" s="27">
        <v>0</v>
      </c>
      <c r="D1328" s="25" t="str">
        <f t="shared" si="40"/>
        <v>201439</v>
      </c>
      <c r="E1328" s="22" t="str">
        <f t="shared" ca="1" si="41"/>
        <v>201409</v>
      </c>
      <c r="F1328" s="22">
        <v>2014</v>
      </c>
    </row>
    <row r="1329" spans="1:6" ht="15.75">
      <c r="A1329" s="22" t="s">
        <v>1441</v>
      </c>
      <c r="B1329" s="26">
        <v>41910</v>
      </c>
      <c r="C1329" s="27">
        <v>0</v>
      </c>
      <c r="D1329" s="25" t="str">
        <f t="shared" si="40"/>
        <v>201439</v>
      </c>
      <c r="E1329" s="22" t="str">
        <f t="shared" ca="1" si="41"/>
        <v>201409</v>
      </c>
      <c r="F1329" s="22">
        <v>2014</v>
      </c>
    </row>
    <row r="1330" spans="1:6" ht="15.75">
      <c r="A1330" s="22" t="s">
        <v>1441</v>
      </c>
      <c r="B1330" s="26">
        <v>41911</v>
      </c>
      <c r="C1330" s="27">
        <v>0</v>
      </c>
      <c r="D1330" s="25" t="str">
        <f t="shared" si="40"/>
        <v>201440</v>
      </c>
      <c r="E1330" s="22" t="str">
        <f t="shared" ca="1" si="41"/>
        <v>201409</v>
      </c>
      <c r="F1330" s="22">
        <v>2014</v>
      </c>
    </row>
    <row r="1331" spans="1:6" ht="15.75">
      <c r="A1331" s="22" t="s">
        <v>1441</v>
      </c>
      <c r="B1331" s="26">
        <v>41912</v>
      </c>
      <c r="C1331" s="27">
        <v>0</v>
      </c>
      <c r="D1331" s="25" t="str">
        <f t="shared" si="40"/>
        <v>201440</v>
      </c>
      <c r="E1331" s="22" t="str">
        <f t="shared" ca="1" si="41"/>
        <v>201409</v>
      </c>
      <c r="F1331" s="22">
        <v>2014</v>
      </c>
    </row>
    <row r="1332" spans="1:6" ht="15.75">
      <c r="A1332" s="22" t="s">
        <v>1441</v>
      </c>
      <c r="B1332" s="26">
        <v>41913</v>
      </c>
      <c r="C1332" s="27">
        <v>0</v>
      </c>
      <c r="D1332" s="25" t="str">
        <f t="shared" si="40"/>
        <v>201440</v>
      </c>
      <c r="E1332" s="22" t="str">
        <f t="shared" ca="1" si="41"/>
        <v>201410</v>
      </c>
      <c r="F1332" s="22">
        <v>2014</v>
      </c>
    </row>
    <row r="1333" spans="1:6" ht="15.75">
      <c r="A1333" s="22" t="s">
        <v>1441</v>
      </c>
      <c r="B1333" s="26">
        <v>41914</v>
      </c>
      <c r="C1333" s="27">
        <v>0</v>
      </c>
      <c r="D1333" s="25" t="str">
        <f t="shared" si="40"/>
        <v>201440</v>
      </c>
      <c r="E1333" s="22" t="str">
        <f t="shared" ca="1" si="41"/>
        <v>201410</v>
      </c>
      <c r="F1333" s="22">
        <v>2014</v>
      </c>
    </row>
    <row r="1334" spans="1:6" ht="15.75">
      <c r="A1334" s="22" t="s">
        <v>1441</v>
      </c>
      <c r="B1334" s="26">
        <v>41915</v>
      </c>
      <c r="C1334" s="27">
        <v>0</v>
      </c>
      <c r="D1334" s="25" t="str">
        <f t="shared" si="40"/>
        <v>201440</v>
      </c>
      <c r="E1334" s="22" t="str">
        <f t="shared" ca="1" si="41"/>
        <v>201410</v>
      </c>
      <c r="F1334" s="22">
        <v>2014</v>
      </c>
    </row>
    <row r="1335" spans="1:6" ht="15.75">
      <c r="A1335" s="22" t="s">
        <v>1441</v>
      </c>
      <c r="B1335" s="26">
        <v>41916</v>
      </c>
      <c r="C1335" s="27">
        <v>0</v>
      </c>
      <c r="D1335" s="25" t="str">
        <f t="shared" si="40"/>
        <v>201440</v>
      </c>
      <c r="E1335" s="22" t="str">
        <f t="shared" ca="1" si="41"/>
        <v>201410</v>
      </c>
      <c r="F1335" s="22">
        <v>2014</v>
      </c>
    </row>
    <row r="1336" spans="1:6" ht="15.75">
      <c r="A1336" s="22" t="s">
        <v>1441</v>
      </c>
      <c r="B1336" s="26">
        <v>41917</v>
      </c>
      <c r="C1336" s="27">
        <v>0</v>
      </c>
      <c r="D1336" s="25" t="str">
        <f t="shared" si="40"/>
        <v>201440</v>
      </c>
      <c r="E1336" s="22" t="str">
        <f t="shared" ca="1" si="41"/>
        <v>201410</v>
      </c>
      <c r="F1336" s="22">
        <v>2014</v>
      </c>
    </row>
    <row r="1337" spans="1:6" ht="15.75">
      <c r="A1337" s="22" t="s">
        <v>1441</v>
      </c>
      <c r="B1337" s="26">
        <v>41918</v>
      </c>
      <c r="C1337" s="27">
        <v>0</v>
      </c>
      <c r="D1337" s="25" t="str">
        <f t="shared" si="40"/>
        <v>201441</v>
      </c>
      <c r="E1337" s="22" t="str">
        <f t="shared" ca="1" si="41"/>
        <v>201410</v>
      </c>
      <c r="F1337" s="22">
        <v>2014</v>
      </c>
    </row>
    <row r="1338" spans="1:6" ht="15.75">
      <c r="A1338" s="22" t="s">
        <v>1441</v>
      </c>
      <c r="B1338" s="26">
        <v>41919</v>
      </c>
      <c r="C1338" s="27">
        <v>0</v>
      </c>
      <c r="D1338" s="25" t="str">
        <f t="shared" si="40"/>
        <v>201441</v>
      </c>
      <c r="E1338" s="22" t="str">
        <f t="shared" ca="1" si="41"/>
        <v>201410</v>
      </c>
      <c r="F1338" s="22">
        <v>2014</v>
      </c>
    </row>
    <row r="1339" spans="1:6" ht="15.75">
      <c r="A1339" s="22" t="s">
        <v>1441</v>
      </c>
      <c r="B1339" s="26">
        <v>41920</v>
      </c>
      <c r="C1339" s="27">
        <v>0</v>
      </c>
      <c r="D1339" s="25" t="str">
        <f t="shared" si="40"/>
        <v>201441</v>
      </c>
      <c r="E1339" s="22" t="str">
        <f t="shared" ca="1" si="41"/>
        <v>201410</v>
      </c>
      <c r="F1339" s="22">
        <v>2014</v>
      </c>
    </row>
    <row r="1340" spans="1:6" ht="15.75">
      <c r="A1340" s="22" t="s">
        <v>1441</v>
      </c>
      <c r="B1340" s="26">
        <v>41921</v>
      </c>
      <c r="C1340" s="27">
        <v>0</v>
      </c>
      <c r="D1340" s="25" t="str">
        <f t="shared" si="40"/>
        <v>201441</v>
      </c>
      <c r="E1340" s="22" t="str">
        <f t="shared" ca="1" si="41"/>
        <v>201410</v>
      </c>
      <c r="F1340" s="22">
        <v>2014</v>
      </c>
    </row>
    <row r="1341" spans="1:6" ht="15.75">
      <c r="A1341" s="22" t="s">
        <v>1441</v>
      </c>
      <c r="B1341" s="26">
        <v>41922</v>
      </c>
      <c r="C1341" s="27">
        <v>0</v>
      </c>
      <c r="D1341" s="25" t="str">
        <f t="shared" si="40"/>
        <v>201441</v>
      </c>
      <c r="E1341" s="22" t="str">
        <f t="shared" ca="1" si="41"/>
        <v>201410</v>
      </c>
      <c r="F1341" s="22">
        <v>2014</v>
      </c>
    </row>
    <row r="1342" spans="1:6" ht="15.75">
      <c r="A1342" s="22" t="s">
        <v>1441</v>
      </c>
      <c r="B1342" s="26">
        <v>41923</v>
      </c>
      <c r="C1342" s="27">
        <v>0</v>
      </c>
      <c r="D1342" s="25" t="str">
        <f t="shared" si="40"/>
        <v>201441</v>
      </c>
      <c r="E1342" s="22" t="str">
        <f t="shared" ca="1" si="41"/>
        <v>201410</v>
      </c>
      <c r="F1342" s="22">
        <v>2014</v>
      </c>
    </row>
    <row r="1343" spans="1:6" ht="15.75">
      <c r="A1343" s="22" t="s">
        <v>1441</v>
      </c>
      <c r="B1343" s="26">
        <v>41924</v>
      </c>
      <c r="C1343" s="27">
        <v>0</v>
      </c>
      <c r="D1343" s="25" t="str">
        <f t="shared" si="40"/>
        <v>201441</v>
      </c>
      <c r="E1343" s="22" t="str">
        <f t="shared" ca="1" si="41"/>
        <v>201410</v>
      </c>
      <c r="F1343" s="22">
        <v>2014</v>
      </c>
    </row>
    <row r="1344" spans="1:6" ht="15.75">
      <c r="A1344" s="22" t="s">
        <v>1441</v>
      </c>
      <c r="B1344" s="26">
        <v>41925</v>
      </c>
      <c r="C1344" s="27">
        <v>0</v>
      </c>
      <c r="D1344" s="25" t="str">
        <f t="shared" si="40"/>
        <v>201442</v>
      </c>
      <c r="E1344" s="22" t="str">
        <f t="shared" ca="1" si="41"/>
        <v>201410</v>
      </c>
      <c r="F1344" s="22">
        <v>2014</v>
      </c>
    </row>
    <row r="1345" spans="1:6" ht="15.75">
      <c r="A1345" s="22" t="s">
        <v>1441</v>
      </c>
      <c r="B1345" s="26">
        <v>41926</v>
      </c>
      <c r="C1345" s="27">
        <v>0</v>
      </c>
      <c r="D1345" s="25" t="str">
        <f t="shared" si="40"/>
        <v>201442</v>
      </c>
      <c r="E1345" s="22" t="str">
        <f t="shared" ca="1" si="41"/>
        <v>201410</v>
      </c>
      <c r="F1345" s="22">
        <v>2014</v>
      </c>
    </row>
    <row r="1346" spans="1:6" ht="15.75">
      <c r="A1346" s="22" t="s">
        <v>1441</v>
      </c>
      <c r="B1346" s="26">
        <v>41927</v>
      </c>
      <c r="C1346" s="27">
        <v>0</v>
      </c>
      <c r="D1346" s="25" t="str">
        <f t="shared" si="40"/>
        <v>201442</v>
      </c>
      <c r="E1346" s="22" t="str">
        <f t="shared" ca="1" si="41"/>
        <v>201410</v>
      </c>
      <c r="F1346" s="22">
        <v>2014</v>
      </c>
    </row>
    <row r="1347" spans="1:6" ht="15.75">
      <c r="A1347" s="22" t="s">
        <v>1441</v>
      </c>
      <c r="B1347" s="26">
        <v>41928</v>
      </c>
      <c r="C1347" s="27">
        <v>0</v>
      </c>
      <c r="D1347" s="25" t="str">
        <f t="shared" ref="D1347:D1410" si="42">CONCATENATE(YEAR(B1347-WEEKDAY(B1347,3)+3),TEXT(WEEKNUM(B1347,21),"00"))</f>
        <v>201442</v>
      </c>
      <c r="E1347" s="22" t="str">
        <f t="shared" ref="E1347:E1410" ca="1" si="43">IF(
  AND(
    YEAR(B1347)=YEAR(TODAY())-1,
    MONTH(B1347)=MONTH(TODAY()),
    DAY(B1347)&gt;DAY($H$2)
  ),
  0,
  CONCATENATE(YEAR(B1347),TEXT(MONTH(B1347),"00"))
)</f>
        <v>201410</v>
      </c>
      <c r="F1347" s="22">
        <v>2014</v>
      </c>
    </row>
    <row r="1348" spans="1:6" ht="15.75">
      <c r="A1348" s="22" t="s">
        <v>1441</v>
      </c>
      <c r="B1348" s="26">
        <v>41929</v>
      </c>
      <c r="C1348" s="27">
        <v>0</v>
      </c>
      <c r="D1348" s="25" t="str">
        <f t="shared" si="42"/>
        <v>201442</v>
      </c>
      <c r="E1348" s="22" t="str">
        <f t="shared" ca="1" si="43"/>
        <v>201410</v>
      </c>
      <c r="F1348" s="22">
        <v>2014</v>
      </c>
    </row>
    <row r="1349" spans="1:6" ht="15.75">
      <c r="A1349" s="22" t="s">
        <v>1441</v>
      </c>
      <c r="B1349" s="26">
        <v>41930</v>
      </c>
      <c r="C1349" s="27">
        <v>0</v>
      </c>
      <c r="D1349" s="25" t="str">
        <f t="shared" si="42"/>
        <v>201442</v>
      </c>
      <c r="E1349" s="22" t="str">
        <f t="shared" ca="1" si="43"/>
        <v>201410</v>
      </c>
      <c r="F1349" s="22">
        <v>2014</v>
      </c>
    </row>
    <row r="1350" spans="1:6" ht="15.75">
      <c r="A1350" s="22" t="s">
        <v>1441</v>
      </c>
      <c r="B1350" s="26">
        <v>41931</v>
      </c>
      <c r="C1350" s="27">
        <v>0</v>
      </c>
      <c r="D1350" s="25" t="str">
        <f t="shared" si="42"/>
        <v>201442</v>
      </c>
      <c r="E1350" s="22" t="str">
        <f t="shared" ca="1" si="43"/>
        <v>201410</v>
      </c>
      <c r="F1350" s="22">
        <v>2014</v>
      </c>
    </row>
    <row r="1351" spans="1:6" ht="15.75">
      <c r="A1351" s="22" t="s">
        <v>1441</v>
      </c>
      <c r="B1351" s="26">
        <v>41932</v>
      </c>
      <c r="C1351" s="27">
        <v>0</v>
      </c>
      <c r="D1351" s="25" t="str">
        <f t="shared" si="42"/>
        <v>201443</v>
      </c>
      <c r="E1351" s="22" t="str">
        <f t="shared" ca="1" si="43"/>
        <v>201410</v>
      </c>
      <c r="F1351" s="22">
        <v>2014</v>
      </c>
    </row>
    <row r="1352" spans="1:6" ht="15.75">
      <c r="A1352" s="22" t="s">
        <v>1441</v>
      </c>
      <c r="B1352" s="26">
        <v>41933</v>
      </c>
      <c r="C1352" s="27">
        <v>0</v>
      </c>
      <c r="D1352" s="25" t="str">
        <f t="shared" si="42"/>
        <v>201443</v>
      </c>
      <c r="E1352" s="22" t="str">
        <f t="shared" ca="1" si="43"/>
        <v>201410</v>
      </c>
      <c r="F1352" s="22">
        <v>2014</v>
      </c>
    </row>
    <row r="1353" spans="1:6" ht="15.75">
      <c r="A1353" s="22" t="s">
        <v>1441</v>
      </c>
      <c r="B1353" s="26">
        <v>41934</v>
      </c>
      <c r="C1353" s="27">
        <v>0</v>
      </c>
      <c r="D1353" s="25" t="str">
        <f t="shared" si="42"/>
        <v>201443</v>
      </c>
      <c r="E1353" s="22" t="str">
        <f t="shared" ca="1" si="43"/>
        <v>201410</v>
      </c>
      <c r="F1353" s="22">
        <v>2014</v>
      </c>
    </row>
    <row r="1354" spans="1:6" ht="15.75">
      <c r="A1354" s="22" t="s">
        <v>1441</v>
      </c>
      <c r="B1354" s="26">
        <v>41935</v>
      </c>
      <c r="C1354" s="27">
        <v>0</v>
      </c>
      <c r="D1354" s="25" t="str">
        <f t="shared" si="42"/>
        <v>201443</v>
      </c>
      <c r="E1354" s="22" t="str">
        <f t="shared" ca="1" si="43"/>
        <v>201410</v>
      </c>
      <c r="F1354" s="22">
        <v>2014</v>
      </c>
    </row>
    <row r="1355" spans="1:6" ht="15.75">
      <c r="A1355" s="22" t="s">
        <v>1441</v>
      </c>
      <c r="B1355" s="26">
        <v>41936</v>
      </c>
      <c r="C1355" s="27">
        <v>0</v>
      </c>
      <c r="D1355" s="25" t="str">
        <f t="shared" si="42"/>
        <v>201443</v>
      </c>
      <c r="E1355" s="22" t="str">
        <f t="shared" ca="1" si="43"/>
        <v>201410</v>
      </c>
      <c r="F1355" s="22">
        <v>2014</v>
      </c>
    </row>
    <row r="1356" spans="1:6" ht="15.75">
      <c r="A1356" s="22" t="s">
        <v>1441</v>
      </c>
      <c r="B1356" s="26">
        <v>41937</v>
      </c>
      <c r="C1356" s="27">
        <v>0</v>
      </c>
      <c r="D1356" s="25" t="str">
        <f t="shared" si="42"/>
        <v>201443</v>
      </c>
      <c r="E1356" s="22" t="str">
        <f t="shared" ca="1" si="43"/>
        <v>201410</v>
      </c>
      <c r="F1356" s="22">
        <v>2014</v>
      </c>
    </row>
    <row r="1357" spans="1:6" ht="15.75">
      <c r="A1357" s="22" t="s">
        <v>1441</v>
      </c>
      <c r="B1357" s="26">
        <v>41938</v>
      </c>
      <c r="C1357" s="27">
        <v>0</v>
      </c>
      <c r="D1357" s="25" t="str">
        <f t="shared" si="42"/>
        <v>201443</v>
      </c>
      <c r="E1357" s="22" t="str">
        <f t="shared" ca="1" si="43"/>
        <v>201410</v>
      </c>
      <c r="F1357" s="22">
        <v>2014</v>
      </c>
    </row>
    <row r="1358" spans="1:6" ht="15.75">
      <c r="A1358" s="22" t="s">
        <v>1441</v>
      </c>
      <c r="B1358" s="26">
        <v>41939</v>
      </c>
      <c r="C1358" s="27">
        <v>0</v>
      </c>
      <c r="D1358" s="25" t="str">
        <f t="shared" si="42"/>
        <v>201444</v>
      </c>
      <c r="E1358" s="22" t="str">
        <f t="shared" ca="1" si="43"/>
        <v>201410</v>
      </c>
      <c r="F1358" s="22">
        <v>2014</v>
      </c>
    </row>
    <row r="1359" spans="1:6" ht="15.75">
      <c r="A1359" s="22" t="s">
        <v>1441</v>
      </c>
      <c r="B1359" s="26">
        <v>41940</v>
      </c>
      <c r="C1359" s="27">
        <v>0</v>
      </c>
      <c r="D1359" s="25" t="str">
        <f t="shared" si="42"/>
        <v>201444</v>
      </c>
      <c r="E1359" s="22" t="str">
        <f t="shared" ca="1" si="43"/>
        <v>201410</v>
      </c>
      <c r="F1359" s="22">
        <v>2014</v>
      </c>
    </row>
    <row r="1360" spans="1:6" ht="15.75">
      <c r="A1360" s="22" t="s">
        <v>1441</v>
      </c>
      <c r="B1360" s="26">
        <v>41941</v>
      </c>
      <c r="C1360" s="27">
        <v>0</v>
      </c>
      <c r="D1360" s="25" t="str">
        <f t="shared" si="42"/>
        <v>201444</v>
      </c>
      <c r="E1360" s="22" t="str">
        <f t="shared" ca="1" si="43"/>
        <v>201410</v>
      </c>
      <c r="F1360" s="22">
        <v>2014</v>
      </c>
    </row>
    <row r="1361" spans="1:6" ht="15.75">
      <c r="A1361" s="22" t="s">
        <v>1441</v>
      </c>
      <c r="B1361" s="26">
        <v>41942</v>
      </c>
      <c r="C1361" s="27">
        <v>0</v>
      </c>
      <c r="D1361" s="25" t="str">
        <f t="shared" si="42"/>
        <v>201444</v>
      </c>
      <c r="E1361" s="22" t="str">
        <f t="shared" ca="1" si="43"/>
        <v>201410</v>
      </c>
      <c r="F1361" s="22">
        <v>2014</v>
      </c>
    </row>
    <row r="1362" spans="1:6" ht="15.75">
      <c r="A1362" s="22" t="s">
        <v>1441</v>
      </c>
      <c r="B1362" s="26">
        <v>41943</v>
      </c>
      <c r="C1362" s="27">
        <v>0</v>
      </c>
      <c r="D1362" s="25" t="str">
        <f t="shared" si="42"/>
        <v>201444</v>
      </c>
      <c r="E1362" s="22" t="str">
        <f t="shared" ca="1" si="43"/>
        <v>201410</v>
      </c>
      <c r="F1362" s="22">
        <v>2014</v>
      </c>
    </row>
    <row r="1363" spans="1:6" ht="15.75">
      <c r="A1363" s="22" t="s">
        <v>1441</v>
      </c>
      <c r="B1363" s="26">
        <v>41944</v>
      </c>
      <c r="C1363" s="27">
        <v>0</v>
      </c>
      <c r="D1363" s="25" t="str">
        <f t="shared" si="42"/>
        <v>201444</v>
      </c>
      <c r="E1363" s="22" t="str">
        <f t="shared" ca="1" si="43"/>
        <v>201411</v>
      </c>
      <c r="F1363" s="22">
        <v>2015</v>
      </c>
    </row>
    <row r="1364" spans="1:6" ht="15.75">
      <c r="A1364" s="22" t="s">
        <v>1441</v>
      </c>
      <c r="B1364" s="26">
        <v>41945</v>
      </c>
      <c r="C1364" s="27">
        <v>0</v>
      </c>
      <c r="D1364" s="25" t="str">
        <f t="shared" si="42"/>
        <v>201444</v>
      </c>
      <c r="E1364" s="22" t="str">
        <f t="shared" ca="1" si="43"/>
        <v>201411</v>
      </c>
      <c r="F1364" s="22">
        <v>2015</v>
      </c>
    </row>
    <row r="1365" spans="1:6" ht="15.75">
      <c r="A1365" s="22" t="s">
        <v>1441</v>
      </c>
      <c r="B1365" s="26">
        <v>41946</v>
      </c>
      <c r="C1365" s="27">
        <v>0</v>
      </c>
      <c r="D1365" s="25" t="str">
        <f t="shared" si="42"/>
        <v>201445</v>
      </c>
      <c r="E1365" s="22" t="str">
        <f t="shared" ca="1" si="43"/>
        <v>201411</v>
      </c>
      <c r="F1365" s="22">
        <v>2015</v>
      </c>
    </row>
    <row r="1366" spans="1:6" ht="15.75">
      <c r="A1366" s="22" t="s">
        <v>1441</v>
      </c>
      <c r="B1366" s="26">
        <v>41947</v>
      </c>
      <c r="C1366" s="27">
        <v>0</v>
      </c>
      <c r="D1366" s="25" t="str">
        <f t="shared" si="42"/>
        <v>201445</v>
      </c>
      <c r="E1366" s="22" t="str">
        <f t="shared" ca="1" si="43"/>
        <v>201411</v>
      </c>
      <c r="F1366" s="22">
        <v>2015</v>
      </c>
    </row>
    <row r="1367" spans="1:6" ht="15.75">
      <c r="A1367" s="22" t="s">
        <v>1441</v>
      </c>
      <c r="B1367" s="26">
        <v>41948</v>
      </c>
      <c r="C1367" s="27">
        <v>0</v>
      </c>
      <c r="D1367" s="25" t="str">
        <f t="shared" si="42"/>
        <v>201445</v>
      </c>
      <c r="E1367" s="22" t="str">
        <f t="shared" ca="1" si="43"/>
        <v>201411</v>
      </c>
      <c r="F1367" s="22">
        <v>2015</v>
      </c>
    </row>
    <row r="1368" spans="1:6" ht="15.75">
      <c r="A1368" s="22" t="s">
        <v>1441</v>
      </c>
      <c r="B1368" s="26">
        <v>41949</v>
      </c>
      <c r="C1368" s="27">
        <v>0</v>
      </c>
      <c r="D1368" s="25" t="str">
        <f t="shared" si="42"/>
        <v>201445</v>
      </c>
      <c r="E1368" s="22" t="str">
        <f t="shared" ca="1" si="43"/>
        <v>201411</v>
      </c>
      <c r="F1368" s="22">
        <v>2015</v>
      </c>
    </row>
    <row r="1369" spans="1:6" ht="15.75">
      <c r="A1369" s="22" t="s">
        <v>1441</v>
      </c>
      <c r="B1369" s="26">
        <v>41950</v>
      </c>
      <c r="C1369" s="27">
        <v>0</v>
      </c>
      <c r="D1369" s="25" t="str">
        <f t="shared" si="42"/>
        <v>201445</v>
      </c>
      <c r="E1369" s="22" t="str">
        <f t="shared" ca="1" si="43"/>
        <v>201411</v>
      </c>
      <c r="F1369" s="22">
        <v>2015</v>
      </c>
    </row>
    <row r="1370" spans="1:6" ht="15.75">
      <c r="A1370" s="22" t="s">
        <v>1441</v>
      </c>
      <c r="B1370" s="26">
        <v>41951</v>
      </c>
      <c r="C1370" s="27">
        <v>0</v>
      </c>
      <c r="D1370" s="25" t="str">
        <f t="shared" si="42"/>
        <v>201445</v>
      </c>
      <c r="E1370" s="22" t="str">
        <f t="shared" ca="1" si="43"/>
        <v>201411</v>
      </c>
      <c r="F1370" s="22">
        <v>2015</v>
      </c>
    </row>
    <row r="1371" spans="1:6" ht="15.75">
      <c r="A1371" s="22" t="s">
        <v>1441</v>
      </c>
      <c r="B1371" s="26">
        <v>41952</v>
      </c>
      <c r="C1371" s="27">
        <v>0</v>
      </c>
      <c r="D1371" s="25" t="str">
        <f t="shared" si="42"/>
        <v>201445</v>
      </c>
      <c r="E1371" s="22" t="str">
        <f t="shared" ca="1" si="43"/>
        <v>201411</v>
      </c>
      <c r="F1371" s="22">
        <v>2015</v>
      </c>
    </row>
    <row r="1372" spans="1:6" ht="15.75">
      <c r="A1372" s="22" t="s">
        <v>1441</v>
      </c>
      <c r="B1372" s="26">
        <v>41953</v>
      </c>
      <c r="C1372" s="27">
        <v>0</v>
      </c>
      <c r="D1372" s="25" t="str">
        <f t="shared" si="42"/>
        <v>201446</v>
      </c>
      <c r="E1372" s="22" t="str">
        <f t="shared" ca="1" si="43"/>
        <v>201411</v>
      </c>
      <c r="F1372" s="22">
        <v>2015</v>
      </c>
    </row>
    <row r="1373" spans="1:6" ht="15.75">
      <c r="A1373" s="22" t="s">
        <v>1441</v>
      </c>
      <c r="B1373" s="26">
        <v>41954</v>
      </c>
      <c r="C1373" s="27">
        <v>0</v>
      </c>
      <c r="D1373" s="25" t="str">
        <f t="shared" si="42"/>
        <v>201446</v>
      </c>
      <c r="E1373" s="22" t="str">
        <f t="shared" ca="1" si="43"/>
        <v>201411</v>
      </c>
      <c r="F1373" s="22">
        <v>2015</v>
      </c>
    </row>
    <row r="1374" spans="1:6" ht="15.75">
      <c r="A1374" s="22" t="s">
        <v>1441</v>
      </c>
      <c r="B1374" s="26">
        <v>41955</v>
      </c>
      <c r="C1374" s="27">
        <v>0</v>
      </c>
      <c r="D1374" s="25" t="str">
        <f t="shared" si="42"/>
        <v>201446</v>
      </c>
      <c r="E1374" s="22" t="str">
        <f t="shared" ca="1" si="43"/>
        <v>201411</v>
      </c>
      <c r="F1374" s="22">
        <v>2015</v>
      </c>
    </row>
    <row r="1375" spans="1:6" ht="15.75">
      <c r="A1375" s="22" t="s">
        <v>1441</v>
      </c>
      <c r="B1375" s="26">
        <v>41956</v>
      </c>
      <c r="C1375" s="27">
        <v>0</v>
      </c>
      <c r="D1375" s="25" t="str">
        <f t="shared" si="42"/>
        <v>201446</v>
      </c>
      <c r="E1375" s="22" t="str">
        <f t="shared" ca="1" si="43"/>
        <v>201411</v>
      </c>
      <c r="F1375" s="22">
        <v>2015</v>
      </c>
    </row>
    <row r="1376" spans="1:6" ht="15.75">
      <c r="A1376" s="22" t="s">
        <v>1441</v>
      </c>
      <c r="B1376" s="26">
        <v>41957</v>
      </c>
      <c r="C1376" s="27">
        <v>0</v>
      </c>
      <c r="D1376" s="25" t="str">
        <f t="shared" si="42"/>
        <v>201446</v>
      </c>
      <c r="E1376" s="22" t="str">
        <f t="shared" ca="1" si="43"/>
        <v>201411</v>
      </c>
      <c r="F1376" s="22">
        <v>2015</v>
      </c>
    </row>
    <row r="1377" spans="1:6" ht="15.75">
      <c r="A1377" s="22" t="s">
        <v>1441</v>
      </c>
      <c r="B1377" s="26">
        <v>41958</v>
      </c>
      <c r="C1377" s="27">
        <v>0</v>
      </c>
      <c r="D1377" s="25" t="str">
        <f t="shared" si="42"/>
        <v>201446</v>
      </c>
      <c r="E1377" s="22" t="str">
        <f t="shared" ca="1" si="43"/>
        <v>201411</v>
      </c>
      <c r="F1377" s="22">
        <v>2015</v>
      </c>
    </row>
    <row r="1378" spans="1:6" ht="15.75">
      <c r="A1378" s="22" t="s">
        <v>1441</v>
      </c>
      <c r="B1378" s="26">
        <v>41959</v>
      </c>
      <c r="C1378" s="27">
        <v>0</v>
      </c>
      <c r="D1378" s="25" t="str">
        <f t="shared" si="42"/>
        <v>201446</v>
      </c>
      <c r="E1378" s="22" t="str">
        <f t="shared" ca="1" si="43"/>
        <v>201411</v>
      </c>
      <c r="F1378" s="22">
        <v>2015</v>
      </c>
    </row>
    <row r="1379" spans="1:6" ht="15.75">
      <c r="A1379" s="22" t="s">
        <v>1441</v>
      </c>
      <c r="B1379" s="26">
        <v>41960</v>
      </c>
      <c r="C1379" s="27">
        <v>0</v>
      </c>
      <c r="D1379" s="25" t="str">
        <f t="shared" si="42"/>
        <v>201447</v>
      </c>
      <c r="E1379" s="22" t="str">
        <f t="shared" ca="1" si="43"/>
        <v>201411</v>
      </c>
      <c r="F1379" s="22">
        <v>2015</v>
      </c>
    </row>
    <row r="1380" spans="1:6" ht="15.75">
      <c r="A1380" s="22" t="s">
        <v>1441</v>
      </c>
      <c r="B1380" s="26">
        <v>41961</v>
      </c>
      <c r="C1380" s="27">
        <v>0</v>
      </c>
      <c r="D1380" s="25" t="str">
        <f t="shared" si="42"/>
        <v>201447</v>
      </c>
      <c r="E1380" s="22" t="str">
        <f t="shared" ca="1" si="43"/>
        <v>201411</v>
      </c>
      <c r="F1380" s="22">
        <v>2015</v>
      </c>
    </row>
    <row r="1381" spans="1:6" ht="15.75">
      <c r="A1381" s="22" t="s">
        <v>1441</v>
      </c>
      <c r="B1381" s="26">
        <v>41962</v>
      </c>
      <c r="C1381" s="27">
        <v>0</v>
      </c>
      <c r="D1381" s="25" t="str">
        <f t="shared" si="42"/>
        <v>201447</v>
      </c>
      <c r="E1381" s="22" t="str">
        <f t="shared" ca="1" si="43"/>
        <v>201411</v>
      </c>
      <c r="F1381" s="22">
        <v>2015</v>
      </c>
    </row>
    <row r="1382" spans="1:6" ht="15.75">
      <c r="A1382" s="22" t="s">
        <v>1441</v>
      </c>
      <c r="B1382" s="26">
        <v>41963</v>
      </c>
      <c r="C1382" s="27">
        <v>0</v>
      </c>
      <c r="D1382" s="25" t="str">
        <f t="shared" si="42"/>
        <v>201447</v>
      </c>
      <c r="E1382" s="22" t="str">
        <f t="shared" ca="1" si="43"/>
        <v>201411</v>
      </c>
      <c r="F1382" s="22">
        <v>2015</v>
      </c>
    </row>
    <row r="1383" spans="1:6" ht="15.75">
      <c r="A1383" s="22" t="s">
        <v>1441</v>
      </c>
      <c r="B1383" s="26">
        <v>41964</v>
      </c>
      <c r="C1383" s="27">
        <v>0</v>
      </c>
      <c r="D1383" s="25" t="str">
        <f t="shared" si="42"/>
        <v>201447</v>
      </c>
      <c r="E1383" s="22" t="str">
        <f t="shared" ca="1" si="43"/>
        <v>201411</v>
      </c>
      <c r="F1383" s="22">
        <v>2015</v>
      </c>
    </row>
    <row r="1384" spans="1:6" ht="15.75">
      <c r="A1384" s="22" t="s">
        <v>1441</v>
      </c>
      <c r="B1384" s="26">
        <v>41965</v>
      </c>
      <c r="C1384" s="27">
        <v>0</v>
      </c>
      <c r="D1384" s="25" t="str">
        <f t="shared" si="42"/>
        <v>201447</v>
      </c>
      <c r="E1384" s="22" t="str">
        <f t="shared" ca="1" si="43"/>
        <v>201411</v>
      </c>
      <c r="F1384" s="22">
        <v>2015</v>
      </c>
    </row>
    <row r="1385" spans="1:6" ht="15.75">
      <c r="A1385" s="22" t="s">
        <v>1441</v>
      </c>
      <c r="B1385" s="26">
        <v>41966</v>
      </c>
      <c r="C1385" s="27">
        <v>0</v>
      </c>
      <c r="D1385" s="25" t="str">
        <f t="shared" si="42"/>
        <v>201447</v>
      </c>
      <c r="E1385" s="22" t="str">
        <f t="shared" ca="1" si="43"/>
        <v>201411</v>
      </c>
      <c r="F1385" s="22">
        <v>2015</v>
      </c>
    </row>
    <row r="1386" spans="1:6" ht="15.75">
      <c r="A1386" s="22" t="s">
        <v>1441</v>
      </c>
      <c r="B1386" s="26">
        <v>41967</v>
      </c>
      <c r="C1386" s="27">
        <v>0</v>
      </c>
      <c r="D1386" s="25" t="str">
        <f t="shared" si="42"/>
        <v>201448</v>
      </c>
      <c r="E1386" s="22" t="str">
        <f t="shared" ca="1" si="43"/>
        <v>201411</v>
      </c>
      <c r="F1386" s="22">
        <v>2015</v>
      </c>
    </row>
    <row r="1387" spans="1:6" ht="15.75">
      <c r="A1387" s="22" t="s">
        <v>1441</v>
      </c>
      <c r="B1387" s="26">
        <v>41968</v>
      </c>
      <c r="C1387" s="27">
        <v>0</v>
      </c>
      <c r="D1387" s="25" t="str">
        <f t="shared" si="42"/>
        <v>201448</v>
      </c>
      <c r="E1387" s="22" t="str">
        <f t="shared" ca="1" si="43"/>
        <v>201411</v>
      </c>
      <c r="F1387" s="22">
        <v>2015</v>
      </c>
    </row>
    <row r="1388" spans="1:6" ht="15.75">
      <c r="A1388" s="22" t="s">
        <v>1441</v>
      </c>
      <c r="B1388" s="26">
        <v>41969</v>
      </c>
      <c r="C1388" s="27">
        <v>0</v>
      </c>
      <c r="D1388" s="25" t="str">
        <f t="shared" si="42"/>
        <v>201448</v>
      </c>
      <c r="E1388" s="22" t="str">
        <f t="shared" ca="1" si="43"/>
        <v>201411</v>
      </c>
      <c r="F1388" s="22">
        <v>2015</v>
      </c>
    </row>
    <row r="1389" spans="1:6" ht="15.75">
      <c r="A1389" s="22" t="s">
        <v>1441</v>
      </c>
      <c r="B1389" s="26">
        <v>41970</v>
      </c>
      <c r="C1389" s="27">
        <v>0</v>
      </c>
      <c r="D1389" s="25" t="str">
        <f t="shared" si="42"/>
        <v>201448</v>
      </c>
      <c r="E1389" s="22" t="str">
        <f t="shared" ca="1" si="43"/>
        <v>201411</v>
      </c>
      <c r="F1389" s="22">
        <v>2015</v>
      </c>
    </row>
    <row r="1390" spans="1:6" ht="15.75">
      <c r="A1390" s="22" t="s">
        <v>1441</v>
      </c>
      <c r="B1390" s="26">
        <v>41971</v>
      </c>
      <c r="C1390" s="27">
        <v>0</v>
      </c>
      <c r="D1390" s="25" t="str">
        <f t="shared" si="42"/>
        <v>201448</v>
      </c>
      <c r="E1390" s="22" t="str">
        <f t="shared" ca="1" si="43"/>
        <v>201411</v>
      </c>
      <c r="F1390" s="22">
        <v>2015</v>
      </c>
    </row>
    <row r="1391" spans="1:6" ht="15.75">
      <c r="A1391" s="22" t="s">
        <v>1441</v>
      </c>
      <c r="B1391" s="26">
        <v>41972</v>
      </c>
      <c r="C1391" s="27">
        <v>0</v>
      </c>
      <c r="D1391" s="25" t="str">
        <f t="shared" si="42"/>
        <v>201448</v>
      </c>
      <c r="E1391" s="22" t="str">
        <f t="shared" ca="1" si="43"/>
        <v>201411</v>
      </c>
      <c r="F1391" s="22">
        <v>2015</v>
      </c>
    </row>
    <row r="1392" spans="1:6" ht="15.75">
      <c r="A1392" s="22" t="s">
        <v>1441</v>
      </c>
      <c r="B1392" s="26">
        <v>41973</v>
      </c>
      <c r="C1392" s="27">
        <v>0</v>
      </c>
      <c r="D1392" s="25" t="str">
        <f t="shared" si="42"/>
        <v>201448</v>
      </c>
      <c r="E1392" s="22" t="str">
        <f t="shared" ca="1" si="43"/>
        <v>201411</v>
      </c>
      <c r="F1392" s="22">
        <v>2015</v>
      </c>
    </row>
    <row r="1393" spans="1:6" ht="15.75">
      <c r="A1393" s="22" t="s">
        <v>1441</v>
      </c>
      <c r="B1393" s="26">
        <v>41974</v>
      </c>
      <c r="C1393" s="27">
        <v>0</v>
      </c>
      <c r="D1393" s="25" t="str">
        <f t="shared" si="42"/>
        <v>201449</v>
      </c>
      <c r="E1393" s="22" t="str">
        <f t="shared" ca="1" si="43"/>
        <v>201412</v>
      </c>
      <c r="F1393" s="22">
        <v>2015</v>
      </c>
    </row>
    <row r="1394" spans="1:6" ht="15.75">
      <c r="A1394" s="22" t="s">
        <v>1441</v>
      </c>
      <c r="B1394" s="26">
        <v>41975</v>
      </c>
      <c r="C1394" s="27">
        <v>0</v>
      </c>
      <c r="D1394" s="25" t="str">
        <f t="shared" si="42"/>
        <v>201449</v>
      </c>
      <c r="E1394" s="22" t="str">
        <f t="shared" ca="1" si="43"/>
        <v>201412</v>
      </c>
      <c r="F1394" s="22">
        <v>2015</v>
      </c>
    </row>
    <row r="1395" spans="1:6" ht="15.75">
      <c r="A1395" s="22" t="s">
        <v>1441</v>
      </c>
      <c r="B1395" s="26">
        <v>41976</v>
      </c>
      <c r="C1395" s="27">
        <v>0</v>
      </c>
      <c r="D1395" s="25" t="str">
        <f t="shared" si="42"/>
        <v>201449</v>
      </c>
      <c r="E1395" s="22" t="str">
        <f t="shared" ca="1" si="43"/>
        <v>201412</v>
      </c>
      <c r="F1395" s="22">
        <v>2015</v>
      </c>
    </row>
    <row r="1396" spans="1:6" ht="15.75">
      <c r="A1396" s="22" t="s">
        <v>1441</v>
      </c>
      <c r="B1396" s="26">
        <v>41977</v>
      </c>
      <c r="C1396" s="27">
        <v>0</v>
      </c>
      <c r="D1396" s="25" t="str">
        <f t="shared" si="42"/>
        <v>201449</v>
      </c>
      <c r="E1396" s="22" t="str">
        <f t="shared" ca="1" si="43"/>
        <v>201412</v>
      </c>
      <c r="F1396" s="22">
        <v>2015</v>
      </c>
    </row>
    <row r="1397" spans="1:6" ht="15.75">
      <c r="A1397" s="22" t="s">
        <v>1441</v>
      </c>
      <c r="B1397" s="26">
        <v>41978</v>
      </c>
      <c r="C1397" s="27">
        <v>0</v>
      </c>
      <c r="D1397" s="25" t="str">
        <f t="shared" si="42"/>
        <v>201449</v>
      </c>
      <c r="E1397" s="22" t="str">
        <f t="shared" ca="1" si="43"/>
        <v>201412</v>
      </c>
      <c r="F1397" s="22">
        <v>2015</v>
      </c>
    </row>
    <row r="1398" spans="1:6" ht="15.75">
      <c r="A1398" s="22" t="s">
        <v>1441</v>
      </c>
      <c r="B1398" s="26">
        <v>41979</v>
      </c>
      <c r="C1398" s="27">
        <v>0</v>
      </c>
      <c r="D1398" s="25" t="str">
        <f t="shared" si="42"/>
        <v>201449</v>
      </c>
      <c r="E1398" s="22" t="str">
        <f t="shared" ca="1" si="43"/>
        <v>201412</v>
      </c>
      <c r="F1398" s="22">
        <v>2015</v>
      </c>
    </row>
    <row r="1399" spans="1:6" ht="15.75">
      <c r="A1399" s="22" t="s">
        <v>1441</v>
      </c>
      <c r="B1399" s="26">
        <v>41980</v>
      </c>
      <c r="C1399" s="27">
        <v>0</v>
      </c>
      <c r="D1399" s="25" t="str">
        <f t="shared" si="42"/>
        <v>201449</v>
      </c>
      <c r="E1399" s="22" t="str">
        <f t="shared" ca="1" si="43"/>
        <v>201412</v>
      </c>
      <c r="F1399" s="22">
        <v>2015</v>
      </c>
    </row>
    <row r="1400" spans="1:6" ht="15.75">
      <c r="A1400" s="22" t="s">
        <v>1441</v>
      </c>
      <c r="B1400" s="26">
        <v>41981</v>
      </c>
      <c r="C1400" s="27">
        <v>0</v>
      </c>
      <c r="D1400" s="25" t="str">
        <f t="shared" si="42"/>
        <v>201450</v>
      </c>
      <c r="E1400" s="22" t="str">
        <f t="shared" ca="1" si="43"/>
        <v>201412</v>
      </c>
      <c r="F1400" s="22">
        <v>2015</v>
      </c>
    </row>
    <row r="1401" spans="1:6" ht="15.75">
      <c r="A1401" s="22" t="s">
        <v>1441</v>
      </c>
      <c r="B1401" s="26">
        <v>41982</v>
      </c>
      <c r="C1401" s="27">
        <v>0</v>
      </c>
      <c r="D1401" s="25" t="str">
        <f t="shared" si="42"/>
        <v>201450</v>
      </c>
      <c r="E1401" s="22" t="str">
        <f t="shared" ca="1" si="43"/>
        <v>201412</v>
      </c>
      <c r="F1401" s="22">
        <v>2015</v>
      </c>
    </row>
    <row r="1402" spans="1:6" ht="15.75">
      <c r="A1402" s="22" t="s">
        <v>1441</v>
      </c>
      <c r="B1402" s="26">
        <v>41983</v>
      </c>
      <c r="C1402" s="27">
        <v>0</v>
      </c>
      <c r="D1402" s="25" t="str">
        <f t="shared" si="42"/>
        <v>201450</v>
      </c>
      <c r="E1402" s="22" t="str">
        <f t="shared" ca="1" si="43"/>
        <v>201412</v>
      </c>
      <c r="F1402" s="22">
        <v>2015</v>
      </c>
    </row>
    <row r="1403" spans="1:6" ht="15.75">
      <c r="A1403" s="22" t="s">
        <v>1441</v>
      </c>
      <c r="B1403" s="26">
        <v>41984</v>
      </c>
      <c r="C1403" s="27">
        <v>0</v>
      </c>
      <c r="D1403" s="25" t="str">
        <f t="shared" si="42"/>
        <v>201450</v>
      </c>
      <c r="E1403" s="22" t="str">
        <f t="shared" ca="1" si="43"/>
        <v>201412</v>
      </c>
      <c r="F1403" s="22">
        <v>2015</v>
      </c>
    </row>
    <row r="1404" spans="1:6" ht="15.75">
      <c r="A1404" s="22" t="s">
        <v>1441</v>
      </c>
      <c r="B1404" s="26">
        <v>41985</v>
      </c>
      <c r="C1404" s="27">
        <v>0</v>
      </c>
      <c r="D1404" s="25" t="str">
        <f t="shared" si="42"/>
        <v>201450</v>
      </c>
      <c r="E1404" s="22" t="str">
        <f t="shared" ca="1" si="43"/>
        <v>201412</v>
      </c>
      <c r="F1404" s="22">
        <v>2015</v>
      </c>
    </row>
    <row r="1405" spans="1:6" ht="15.75">
      <c r="A1405" s="22" t="s">
        <v>1441</v>
      </c>
      <c r="B1405" s="26">
        <v>41986</v>
      </c>
      <c r="C1405" s="27">
        <v>0</v>
      </c>
      <c r="D1405" s="25" t="str">
        <f t="shared" si="42"/>
        <v>201450</v>
      </c>
      <c r="E1405" s="22" t="str">
        <f t="shared" ca="1" si="43"/>
        <v>201412</v>
      </c>
      <c r="F1405" s="22">
        <v>2015</v>
      </c>
    </row>
    <row r="1406" spans="1:6" ht="15.75">
      <c r="A1406" s="22" t="s">
        <v>1441</v>
      </c>
      <c r="B1406" s="26">
        <v>41987</v>
      </c>
      <c r="C1406" s="27">
        <v>0</v>
      </c>
      <c r="D1406" s="25" t="str">
        <f t="shared" si="42"/>
        <v>201450</v>
      </c>
      <c r="E1406" s="22" t="str">
        <f t="shared" ca="1" si="43"/>
        <v>201412</v>
      </c>
      <c r="F1406" s="22">
        <v>2015</v>
      </c>
    </row>
    <row r="1407" spans="1:6" ht="15.75">
      <c r="A1407" s="22" t="s">
        <v>1441</v>
      </c>
      <c r="B1407" s="26">
        <v>41988</v>
      </c>
      <c r="C1407" s="27">
        <v>0</v>
      </c>
      <c r="D1407" s="25" t="str">
        <f t="shared" si="42"/>
        <v>201451</v>
      </c>
      <c r="E1407" s="22" t="str">
        <f t="shared" ca="1" si="43"/>
        <v>201412</v>
      </c>
      <c r="F1407" s="22">
        <v>2015</v>
      </c>
    </row>
    <row r="1408" spans="1:6" ht="15.75">
      <c r="A1408" s="22" t="s">
        <v>1441</v>
      </c>
      <c r="B1408" s="26">
        <v>41989</v>
      </c>
      <c r="C1408" s="27">
        <v>0</v>
      </c>
      <c r="D1408" s="25" t="str">
        <f t="shared" si="42"/>
        <v>201451</v>
      </c>
      <c r="E1408" s="22" t="str">
        <f t="shared" ca="1" si="43"/>
        <v>201412</v>
      </c>
      <c r="F1408" s="22">
        <v>2015</v>
      </c>
    </row>
    <row r="1409" spans="1:6" ht="15.75">
      <c r="A1409" s="22" t="s">
        <v>1441</v>
      </c>
      <c r="B1409" s="26">
        <v>41990</v>
      </c>
      <c r="C1409" s="27">
        <v>0</v>
      </c>
      <c r="D1409" s="25" t="str">
        <f t="shared" si="42"/>
        <v>201451</v>
      </c>
      <c r="E1409" s="22" t="str">
        <f t="shared" ca="1" si="43"/>
        <v>201412</v>
      </c>
      <c r="F1409" s="22">
        <v>2015</v>
      </c>
    </row>
    <row r="1410" spans="1:6" ht="15.75">
      <c r="A1410" s="22" t="s">
        <v>1441</v>
      </c>
      <c r="B1410" s="26">
        <v>41991</v>
      </c>
      <c r="C1410" s="27">
        <v>0</v>
      </c>
      <c r="D1410" s="25" t="str">
        <f t="shared" si="42"/>
        <v>201451</v>
      </c>
      <c r="E1410" s="22" t="str">
        <f t="shared" ca="1" si="43"/>
        <v>201412</v>
      </c>
      <c r="F1410" s="22">
        <v>2015</v>
      </c>
    </row>
    <row r="1411" spans="1:6" ht="15.75">
      <c r="A1411" s="22" t="s">
        <v>1441</v>
      </c>
      <c r="B1411" s="26">
        <v>41992</v>
      </c>
      <c r="C1411" s="27">
        <v>0</v>
      </c>
      <c r="D1411" s="25" t="str">
        <f t="shared" ref="D1411:D1474" si="44">CONCATENATE(YEAR(B1411-WEEKDAY(B1411,3)+3),TEXT(WEEKNUM(B1411,21),"00"))</f>
        <v>201451</v>
      </c>
      <c r="E1411" s="22" t="str">
        <f t="shared" ref="E1411:E1474" ca="1" si="45">IF(
  AND(
    YEAR(B1411)=YEAR(TODAY())-1,
    MONTH(B1411)=MONTH(TODAY()),
    DAY(B1411)&gt;DAY($H$2)
  ),
  0,
  CONCATENATE(YEAR(B1411),TEXT(MONTH(B1411),"00"))
)</f>
        <v>201412</v>
      </c>
      <c r="F1411" s="22">
        <v>2015</v>
      </c>
    </row>
    <row r="1412" spans="1:6" ht="15.75">
      <c r="A1412" s="22" t="s">
        <v>1441</v>
      </c>
      <c r="B1412" s="26">
        <v>41993</v>
      </c>
      <c r="C1412" s="27">
        <v>0</v>
      </c>
      <c r="D1412" s="25" t="str">
        <f t="shared" si="44"/>
        <v>201451</v>
      </c>
      <c r="E1412" s="22" t="str">
        <f t="shared" ca="1" si="45"/>
        <v>201412</v>
      </c>
      <c r="F1412" s="22">
        <v>2015</v>
      </c>
    </row>
    <row r="1413" spans="1:6" ht="15.75">
      <c r="A1413" s="22" t="s">
        <v>1441</v>
      </c>
      <c r="B1413" s="26">
        <v>41994</v>
      </c>
      <c r="C1413" s="27">
        <v>0</v>
      </c>
      <c r="D1413" s="25" t="str">
        <f t="shared" si="44"/>
        <v>201451</v>
      </c>
      <c r="E1413" s="22" t="str">
        <f t="shared" ca="1" si="45"/>
        <v>201412</v>
      </c>
      <c r="F1413" s="22">
        <v>2015</v>
      </c>
    </row>
    <row r="1414" spans="1:6" ht="15.75">
      <c r="A1414" s="22" t="s">
        <v>1441</v>
      </c>
      <c r="B1414" s="26">
        <v>41995</v>
      </c>
      <c r="C1414" s="27">
        <v>0</v>
      </c>
      <c r="D1414" s="25" t="str">
        <f t="shared" si="44"/>
        <v>201452</v>
      </c>
      <c r="E1414" s="22" t="str">
        <f t="shared" ca="1" si="45"/>
        <v>201412</v>
      </c>
      <c r="F1414" s="22">
        <v>2015</v>
      </c>
    </row>
    <row r="1415" spans="1:6" ht="15.75">
      <c r="A1415" s="22" t="s">
        <v>1441</v>
      </c>
      <c r="B1415" s="26">
        <v>41996</v>
      </c>
      <c r="C1415" s="27">
        <v>0</v>
      </c>
      <c r="D1415" s="25" t="str">
        <f t="shared" si="44"/>
        <v>201452</v>
      </c>
      <c r="E1415" s="22" t="str">
        <f t="shared" ca="1" si="45"/>
        <v>201412</v>
      </c>
      <c r="F1415" s="22">
        <v>2015</v>
      </c>
    </row>
    <row r="1416" spans="1:6" ht="15.75">
      <c r="A1416" s="22" t="s">
        <v>1441</v>
      </c>
      <c r="B1416" s="26">
        <v>41997</v>
      </c>
      <c r="C1416" s="27">
        <v>0</v>
      </c>
      <c r="D1416" s="25" t="str">
        <f t="shared" si="44"/>
        <v>201452</v>
      </c>
      <c r="E1416" s="22" t="str">
        <f t="shared" ca="1" si="45"/>
        <v>201412</v>
      </c>
      <c r="F1416" s="22">
        <v>2015</v>
      </c>
    </row>
    <row r="1417" spans="1:6" ht="15.75">
      <c r="A1417" s="22" t="s">
        <v>1441</v>
      </c>
      <c r="B1417" s="26">
        <v>41998</v>
      </c>
      <c r="C1417" s="27">
        <v>0</v>
      </c>
      <c r="D1417" s="25" t="str">
        <f t="shared" si="44"/>
        <v>201452</v>
      </c>
      <c r="E1417" s="22" t="str">
        <f t="shared" ca="1" si="45"/>
        <v>201412</v>
      </c>
      <c r="F1417" s="22">
        <v>2015</v>
      </c>
    </row>
    <row r="1418" spans="1:6" ht="15.75">
      <c r="A1418" s="22" t="s">
        <v>1441</v>
      </c>
      <c r="B1418" s="26">
        <v>41999</v>
      </c>
      <c r="C1418" s="27">
        <v>0</v>
      </c>
      <c r="D1418" s="25" t="str">
        <f t="shared" si="44"/>
        <v>201452</v>
      </c>
      <c r="E1418" s="22" t="str">
        <f t="shared" ca="1" si="45"/>
        <v>201412</v>
      </c>
      <c r="F1418" s="22">
        <v>2015</v>
      </c>
    </row>
    <row r="1419" spans="1:6" ht="15.75">
      <c r="A1419" s="22" t="s">
        <v>1441</v>
      </c>
      <c r="B1419" s="26">
        <v>42000</v>
      </c>
      <c r="C1419" s="27">
        <v>0</v>
      </c>
      <c r="D1419" s="25" t="str">
        <f t="shared" si="44"/>
        <v>201452</v>
      </c>
      <c r="E1419" s="22" t="str">
        <f t="shared" ca="1" si="45"/>
        <v>201412</v>
      </c>
      <c r="F1419" s="22">
        <v>2015</v>
      </c>
    </row>
    <row r="1420" spans="1:6" ht="15.75">
      <c r="A1420" s="22" t="s">
        <v>1441</v>
      </c>
      <c r="B1420" s="26">
        <v>42001</v>
      </c>
      <c r="C1420" s="27">
        <v>0</v>
      </c>
      <c r="D1420" s="25" t="str">
        <f t="shared" si="44"/>
        <v>201452</v>
      </c>
      <c r="E1420" s="22" t="str">
        <f t="shared" ca="1" si="45"/>
        <v>201412</v>
      </c>
      <c r="F1420" s="22">
        <v>2015</v>
      </c>
    </row>
    <row r="1421" spans="1:6" ht="15.75">
      <c r="A1421" s="22" t="s">
        <v>1441</v>
      </c>
      <c r="B1421" s="26">
        <v>42002</v>
      </c>
      <c r="C1421" s="27">
        <v>0</v>
      </c>
      <c r="D1421" s="25" t="str">
        <f t="shared" si="44"/>
        <v>201501</v>
      </c>
      <c r="E1421" s="22" t="str">
        <f t="shared" ca="1" si="45"/>
        <v>201412</v>
      </c>
      <c r="F1421" s="22">
        <v>2015</v>
      </c>
    </row>
    <row r="1422" spans="1:6" ht="15.75">
      <c r="A1422" s="22" t="s">
        <v>1441</v>
      </c>
      <c r="B1422" s="26">
        <v>42003</v>
      </c>
      <c r="C1422" s="27">
        <v>0</v>
      </c>
      <c r="D1422" s="25" t="str">
        <f t="shared" si="44"/>
        <v>201501</v>
      </c>
      <c r="E1422" s="22" t="str">
        <f t="shared" ca="1" si="45"/>
        <v>201412</v>
      </c>
      <c r="F1422" s="22">
        <v>2015</v>
      </c>
    </row>
    <row r="1423" spans="1:6" ht="15.75">
      <c r="A1423" s="22" t="s">
        <v>1441</v>
      </c>
      <c r="B1423" s="26">
        <v>42004</v>
      </c>
      <c r="C1423" s="27">
        <v>0</v>
      </c>
      <c r="D1423" s="25" t="str">
        <f t="shared" si="44"/>
        <v>201501</v>
      </c>
      <c r="E1423" s="22" t="str">
        <f t="shared" ca="1" si="45"/>
        <v>201412</v>
      </c>
      <c r="F1423" s="22">
        <v>2015</v>
      </c>
    </row>
    <row r="1424" spans="1:6" ht="15.75">
      <c r="A1424" s="22" t="s">
        <v>1441</v>
      </c>
      <c r="B1424" s="26">
        <v>42005</v>
      </c>
      <c r="C1424" s="27">
        <v>0</v>
      </c>
      <c r="D1424" s="25" t="str">
        <f t="shared" si="44"/>
        <v>201501</v>
      </c>
      <c r="E1424" s="22" t="str">
        <f t="shared" ca="1" si="45"/>
        <v>201501</v>
      </c>
      <c r="F1424" s="22">
        <v>2015</v>
      </c>
    </row>
    <row r="1425" spans="1:6" ht="15.75">
      <c r="A1425" s="22" t="s">
        <v>1441</v>
      </c>
      <c r="B1425" s="26">
        <v>42006</v>
      </c>
      <c r="C1425" s="27">
        <v>0</v>
      </c>
      <c r="D1425" s="25" t="str">
        <f t="shared" si="44"/>
        <v>201501</v>
      </c>
      <c r="E1425" s="22" t="str">
        <f t="shared" ca="1" si="45"/>
        <v>201501</v>
      </c>
      <c r="F1425" s="22">
        <v>2015</v>
      </c>
    </row>
    <row r="1426" spans="1:6" ht="15.75">
      <c r="A1426" s="22" t="s">
        <v>1441</v>
      </c>
      <c r="B1426" s="26">
        <v>42007</v>
      </c>
      <c r="C1426" s="27">
        <v>0</v>
      </c>
      <c r="D1426" s="25" t="str">
        <f t="shared" si="44"/>
        <v>201501</v>
      </c>
      <c r="E1426" s="22" t="str">
        <f t="shared" ca="1" si="45"/>
        <v>201501</v>
      </c>
      <c r="F1426" s="22">
        <v>2015</v>
      </c>
    </row>
    <row r="1427" spans="1:6" ht="15.75">
      <c r="A1427" s="22" t="s">
        <v>1441</v>
      </c>
      <c r="B1427" s="26">
        <v>42008</v>
      </c>
      <c r="C1427" s="27">
        <v>0</v>
      </c>
      <c r="D1427" s="25" t="str">
        <f t="shared" si="44"/>
        <v>201501</v>
      </c>
      <c r="E1427" s="22" t="str">
        <f t="shared" ca="1" si="45"/>
        <v>201501</v>
      </c>
      <c r="F1427" s="22">
        <v>2015</v>
      </c>
    </row>
    <row r="1428" spans="1:6" ht="15.75">
      <c r="A1428" s="22" t="s">
        <v>1441</v>
      </c>
      <c r="B1428" s="26">
        <v>42009</v>
      </c>
      <c r="C1428" s="27">
        <v>0</v>
      </c>
      <c r="D1428" s="25" t="str">
        <f t="shared" si="44"/>
        <v>201502</v>
      </c>
      <c r="E1428" s="22" t="str">
        <f t="shared" ca="1" si="45"/>
        <v>201501</v>
      </c>
      <c r="F1428" s="22">
        <v>2015</v>
      </c>
    </row>
    <row r="1429" spans="1:6" ht="15.75">
      <c r="A1429" s="22" t="s">
        <v>1441</v>
      </c>
      <c r="B1429" s="26">
        <v>42010</v>
      </c>
      <c r="C1429" s="27">
        <v>0</v>
      </c>
      <c r="D1429" s="25" t="str">
        <f t="shared" si="44"/>
        <v>201502</v>
      </c>
      <c r="E1429" s="22" t="str">
        <f t="shared" ca="1" si="45"/>
        <v>201501</v>
      </c>
      <c r="F1429" s="22">
        <v>2015</v>
      </c>
    </row>
    <row r="1430" spans="1:6" ht="15.75">
      <c r="A1430" s="22" t="s">
        <v>1441</v>
      </c>
      <c r="B1430" s="26">
        <v>42011</v>
      </c>
      <c r="C1430" s="27">
        <v>0</v>
      </c>
      <c r="D1430" s="25" t="str">
        <f t="shared" si="44"/>
        <v>201502</v>
      </c>
      <c r="E1430" s="22" t="str">
        <f t="shared" ca="1" si="45"/>
        <v>201501</v>
      </c>
      <c r="F1430" s="22">
        <v>2015</v>
      </c>
    </row>
    <row r="1431" spans="1:6" ht="15.75">
      <c r="A1431" s="22" t="s">
        <v>1441</v>
      </c>
      <c r="B1431" s="26">
        <v>42012</v>
      </c>
      <c r="C1431" s="27">
        <v>0</v>
      </c>
      <c r="D1431" s="25" t="str">
        <f t="shared" si="44"/>
        <v>201502</v>
      </c>
      <c r="E1431" s="22" t="str">
        <f t="shared" ca="1" si="45"/>
        <v>201501</v>
      </c>
      <c r="F1431" s="22">
        <v>2015</v>
      </c>
    </row>
    <row r="1432" spans="1:6" ht="15.75">
      <c r="A1432" s="22" t="s">
        <v>1441</v>
      </c>
      <c r="B1432" s="26">
        <v>42013</v>
      </c>
      <c r="C1432" s="27">
        <v>0</v>
      </c>
      <c r="D1432" s="25" t="str">
        <f t="shared" si="44"/>
        <v>201502</v>
      </c>
      <c r="E1432" s="22" t="str">
        <f t="shared" ca="1" si="45"/>
        <v>201501</v>
      </c>
      <c r="F1432" s="22">
        <v>2015</v>
      </c>
    </row>
    <row r="1433" spans="1:6" ht="15.75">
      <c r="A1433" s="22" t="s">
        <v>1441</v>
      </c>
      <c r="B1433" s="26">
        <v>42014</v>
      </c>
      <c r="C1433" s="27">
        <v>0</v>
      </c>
      <c r="D1433" s="25" t="str">
        <f t="shared" si="44"/>
        <v>201502</v>
      </c>
      <c r="E1433" s="22" t="str">
        <f t="shared" ca="1" si="45"/>
        <v>201501</v>
      </c>
      <c r="F1433" s="22">
        <v>2015</v>
      </c>
    </row>
    <row r="1434" spans="1:6" ht="15.75">
      <c r="A1434" s="22" t="s">
        <v>1441</v>
      </c>
      <c r="B1434" s="26">
        <v>42015</v>
      </c>
      <c r="C1434" s="27">
        <v>0</v>
      </c>
      <c r="D1434" s="25" t="str">
        <f t="shared" si="44"/>
        <v>201502</v>
      </c>
      <c r="E1434" s="22" t="str">
        <f t="shared" ca="1" si="45"/>
        <v>201501</v>
      </c>
      <c r="F1434" s="22">
        <v>2015</v>
      </c>
    </row>
    <row r="1435" spans="1:6" ht="15.75">
      <c r="A1435" s="22" t="s">
        <v>1441</v>
      </c>
      <c r="B1435" s="26">
        <v>42016</v>
      </c>
      <c r="C1435" s="27">
        <v>0</v>
      </c>
      <c r="D1435" s="25" t="str">
        <f t="shared" si="44"/>
        <v>201503</v>
      </c>
      <c r="E1435" s="22" t="str">
        <f t="shared" ca="1" si="45"/>
        <v>201501</v>
      </c>
      <c r="F1435" s="22">
        <v>2015</v>
      </c>
    </row>
    <row r="1436" spans="1:6" ht="15.75">
      <c r="A1436" s="22" t="s">
        <v>1441</v>
      </c>
      <c r="B1436" s="26">
        <v>42017</v>
      </c>
      <c r="C1436" s="27">
        <v>0</v>
      </c>
      <c r="D1436" s="25" t="str">
        <f t="shared" si="44"/>
        <v>201503</v>
      </c>
      <c r="E1436" s="22" t="str">
        <f t="shared" ca="1" si="45"/>
        <v>201501</v>
      </c>
      <c r="F1436" s="22">
        <v>2015</v>
      </c>
    </row>
    <row r="1437" spans="1:6" ht="15.75">
      <c r="A1437" s="22" t="s">
        <v>1441</v>
      </c>
      <c r="B1437" s="26">
        <v>42018</v>
      </c>
      <c r="C1437" s="27">
        <v>0</v>
      </c>
      <c r="D1437" s="25" t="str">
        <f t="shared" si="44"/>
        <v>201503</v>
      </c>
      <c r="E1437" s="22" t="str">
        <f t="shared" ca="1" si="45"/>
        <v>201501</v>
      </c>
      <c r="F1437" s="22">
        <v>2015</v>
      </c>
    </row>
    <row r="1438" spans="1:6" ht="15.75">
      <c r="A1438" s="22" t="s">
        <v>1441</v>
      </c>
      <c r="B1438" s="26">
        <v>42019</v>
      </c>
      <c r="C1438" s="27">
        <v>0</v>
      </c>
      <c r="D1438" s="25" t="str">
        <f t="shared" si="44"/>
        <v>201503</v>
      </c>
      <c r="E1438" s="22" t="str">
        <f t="shared" ca="1" si="45"/>
        <v>201501</v>
      </c>
      <c r="F1438" s="22">
        <v>2015</v>
      </c>
    </row>
    <row r="1439" spans="1:6" ht="15.75">
      <c r="A1439" s="22" t="s">
        <v>1441</v>
      </c>
      <c r="B1439" s="26">
        <v>42020</v>
      </c>
      <c r="C1439" s="27">
        <v>0</v>
      </c>
      <c r="D1439" s="25" t="str">
        <f t="shared" si="44"/>
        <v>201503</v>
      </c>
      <c r="E1439" s="22" t="str">
        <f t="shared" ca="1" si="45"/>
        <v>201501</v>
      </c>
      <c r="F1439" s="22">
        <v>2015</v>
      </c>
    </row>
    <row r="1440" spans="1:6" ht="15.75">
      <c r="A1440" s="22" t="s">
        <v>1441</v>
      </c>
      <c r="B1440" s="26">
        <v>42021</v>
      </c>
      <c r="C1440" s="27">
        <v>0</v>
      </c>
      <c r="D1440" s="25" t="str">
        <f t="shared" si="44"/>
        <v>201503</v>
      </c>
      <c r="E1440" s="22" t="str">
        <f t="shared" ca="1" si="45"/>
        <v>201501</v>
      </c>
      <c r="F1440" s="22">
        <v>2015</v>
      </c>
    </row>
    <row r="1441" spans="1:6" ht="15.75">
      <c r="A1441" s="22" t="s">
        <v>1441</v>
      </c>
      <c r="B1441" s="26">
        <v>42022</v>
      </c>
      <c r="C1441" s="27">
        <v>0</v>
      </c>
      <c r="D1441" s="25" t="str">
        <f t="shared" si="44"/>
        <v>201503</v>
      </c>
      <c r="E1441" s="22" t="str">
        <f t="shared" ca="1" si="45"/>
        <v>201501</v>
      </c>
      <c r="F1441" s="22">
        <v>2015</v>
      </c>
    </row>
    <row r="1442" spans="1:6" ht="15.75">
      <c r="A1442" s="22" t="s">
        <v>1441</v>
      </c>
      <c r="B1442" s="26">
        <v>42023</v>
      </c>
      <c r="C1442" s="27">
        <v>0</v>
      </c>
      <c r="D1442" s="25" t="str">
        <f t="shared" si="44"/>
        <v>201504</v>
      </c>
      <c r="E1442" s="22" t="str">
        <f t="shared" ca="1" si="45"/>
        <v>201501</v>
      </c>
      <c r="F1442" s="22">
        <v>2015</v>
      </c>
    </row>
    <row r="1443" spans="1:6" ht="15.75">
      <c r="A1443" s="22" t="s">
        <v>1441</v>
      </c>
      <c r="B1443" s="26">
        <v>42024</v>
      </c>
      <c r="C1443" s="27">
        <v>0</v>
      </c>
      <c r="D1443" s="25" t="str">
        <f t="shared" si="44"/>
        <v>201504</v>
      </c>
      <c r="E1443" s="22" t="str">
        <f t="shared" ca="1" si="45"/>
        <v>201501</v>
      </c>
      <c r="F1443" s="22">
        <v>2015</v>
      </c>
    </row>
    <row r="1444" spans="1:6" ht="15.75">
      <c r="A1444" s="22" t="s">
        <v>1441</v>
      </c>
      <c r="B1444" s="26">
        <v>42025</v>
      </c>
      <c r="C1444" s="27">
        <v>0</v>
      </c>
      <c r="D1444" s="25" t="str">
        <f t="shared" si="44"/>
        <v>201504</v>
      </c>
      <c r="E1444" s="22" t="str">
        <f t="shared" ca="1" si="45"/>
        <v>201501</v>
      </c>
      <c r="F1444" s="22">
        <v>2015</v>
      </c>
    </row>
    <row r="1445" spans="1:6" ht="15.75">
      <c r="A1445" s="22" t="s">
        <v>1441</v>
      </c>
      <c r="B1445" s="26">
        <v>42026</v>
      </c>
      <c r="C1445" s="27">
        <v>0</v>
      </c>
      <c r="D1445" s="25" t="str">
        <f t="shared" si="44"/>
        <v>201504</v>
      </c>
      <c r="E1445" s="22" t="str">
        <f t="shared" ca="1" si="45"/>
        <v>201501</v>
      </c>
      <c r="F1445" s="22">
        <v>2015</v>
      </c>
    </row>
    <row r="1446" spans="1:6" ht="15.75">
      <c r="A1446" s="22" t="s">
        <v>1441</v>
      </c>
      <c r="B1446" s="26">
        <v>42027</v>
      </c>
      <c r="C1446" s="27">
        <v>0</v>
      </c>
      <c r="D1446" s="25" t="str">
        <f t="shared" si="44"/>
        <v>201504</v>
      </c>
      <c r="E1446" s="22" t="str">
        <f t="shared" ca="1" si="45"/>
        <v>201501</v>
      </c>
      <c r="F1446" s="22">
        <v>2015</v>
      </c>
    </row>
    <row r="1447" spans="1:6" ht="15.75">
      <c r="A1447" s="22" t="s">
        <v>1441</v>
      </c>
      <c r="B1447" s="26">
        <v>42028</v>
      </c>
      <c r="C1447" s="27">
        <v>0</v>
      </c>
      <c r="D1447" s="25" t="str">
        <f t="shared" si="44"/>
        <v>201504</v>
      </c>
      <c r="E1447" s="22" t="str">
        <f t="shared" ca="1" si="45"/>
        <v>201501</v>
      </c>
      <c r="F1447" s="22">
        <v>2015</v>
      </c>
    </row>
    <row r="1448" spans="1:6" ht="15.75">
      <c r="A1448" s="22" t="s">
        <v>1441</v>
      </c>
      <c r="B1448" s="26">
        <v>42029</v>
      </c>
      <c r="C1448" s="27">
        <v>0</v>
      </c>
      <c r="D1448" s="25" t="str">
        <f t="shared" si="44"/>
        <v>201504</v>
      </c>
      <c r="E1448" s="22" t="str">
        <f t="shared" ca="1" si="45"/>
        <v>201501</v>
      </c>
      <c r="F1448" s="22">
        <v>2015</v>
      </c>
    </row>
    <row r="1449" spans="1:6" ht="15.75">
      <c r="A1449" s="22" t="s">
        <v>1441</v>
      </c>
      <c r="B1449" s="26">
        <v>42030</v>
      </c>
      <c r="C1449" s="27">
        <v>0</v>
      </c>
      <c r="D1449" s="25" t="str">
        <f t="shared" si="44"/>
        <v>201505</v>
      </c>
      <c r="E1449" s="22" t="str">
        <f t="shared" ca="1" si="45"/>
        <v>201501</v>
      </c>
      <c r="F1449" s="22">
        <v>2015</v>
      </c>
    </row>
    <row r="1450" spans="1:6" ht="15.75">
      <c r="A1450" s="22" t="s">
        <v>1441</v>
      </c>
      <c r="B1450" s="26">
        <v>42031</v>
      </c>
      <c r="C1450" s="27">
        <v>0</v>
      </c>
      <c r="D1450" s="25" t="str">
        <f t="shared" si="44"/>
        <v>201505</v>
      </c>
      <c r="E1450" s="22" t="str">
        <f t="shared" ca="1" si="45"/>
        <v>201501</v>
      </c>
      <c r="F1450" s="22">
        <v>2015</v>
      </c>
    </row>
    <row r="1451" spans="1:6" ht="15.75">
      <c r="A1451" s="22" t="s">
        <v>1441</v>
      </c>
      <c r="B1451" s="26">
        <v>42032</v>
      </c>
      <c r="C1451" s="27">
        <v>0</v>
      </c>
      <c r="D1451" s="25" t="str">
        <f t="shared" si="44"/>
        <v>201505</v>
      </c>
      <c r="E1451" s="22" t="str">
        <f t="shared" ca="1" si="45"/>
        <v>201501</v>
      </c>
      <c r="F1451" s="22">
        <v>2015</v>
      </c>
    </row>
    <row r="1452" spans="1:6" ht="15.75">
      <c r="A1452" s="22" t="s">
        <v>1441</v>
      </c>
      <c r="B1452" s="26">
        <v>42033</v>
      </c>
      <c r="C1452" s="27">
        <v>0</v>
      </c>
      <c r="D1452" s="25" t="str">
        <f t="shared" si="44"/>
        <v>201505</v>
      </c>
      <c r="E1452" s="22" t="str">
        <f t="shared" ca="1" si="45"/>
        <v>201501</v>
      </c>
      <c r="F1452" s="22">
        <v>2015</v>
      </c>
    </row>
    <row r="1453" spans="1:6" ht="15.75">
      <c r="A1453" s="22" t="s">
        <v>1441</v>
      </c>
      <c r="B1453" s="26">
        <v>42034</v>
      </c>
      <c r="C1453" s="27">
        <v>0</v>
      </c>
      <c r="D1453" s="25" t="str">
        <f t="shared" si="44"/>
        <v>201505</v>
      </c>
      <c r="E1453" s="22" t="str">
        <f t="shared" ca="1" si="45"/>
        <v>201501</v>
      </c>
      <c r="F1453" s="22">
        <v>2015</v>
      </c>
    </row>
    <row r="1454" spans="1:6" ht="15.75">
      <c r="A1454" s="22" t="s">
        <v>1441</v>
      </c>
      <c r="B1454" s="26">
        <v>42035</v>
      </c>
      <c r="C1454" s="27">
        <v>0</v>
      </c>
      <c r="D1454" s="25" t="str">
        <f t="shared" si="44"/>
        <v>201505</v>
      </c>
      <c r="E1454" s="22" t="str">
        <f t="shared" ca="1" si="45"/>
        <v>201501</v>
      </c>
      <c r="F1454" s="22">
        <v>2015</v>
      </c>
    </row>
    <row r="1455" spans="1:6" ht="15.75">
      <c r="A1455" s="22" t="s">
        <v>1441</v>
      </c>
      <c r="B1455" s="26">
        <v>42036</v>
      </c>
      <c r="C1455" s="27">
        <v>0</v>
      </c>
      <c r="D1455" s="25" t="str">
        <f t="shared" si="44"/>
        <v>201505</v>
      </c>
      <c r="E1455" s="22" t="str">
        <f t="shared" ca="1" si="45"/>
        <v>201502</v>
      </c>
      <c r="F1455" s="22">
        <v>2015</v>
      </c>
    </row>
    <row r="1456" spans="1:6" ht="15.75">
      <c r="A1456" s="22" t="s">
        <v>1441</v>
      </c>
      <c r="B1456" s="26">
        <v>42037</v>
      </c>
      <c r="C1456" s="27">
        <v>0</v>
      </c>
      <c r="D1456" s="25" t="str">
        <f t="shared" si="44"/>
        <v>201506</v>
      </c>
      <c r="E1456" s="22" t="str">
        <f t="shared" ca="1" si="45"/>
        <v>201502</v>
      </c>
      <c r="F1456" s="22">
        <v>2015</v>
      </c>
    </row>
    <row r="1457" spans="1:6" ht="15.75">
      <c r="A1457" s="22" t="s">
        <v>1441</v>
      </c>
      <c r="B1457" s="26">
        <v>42038</v>
      </c>
      <c r="C1457" s="27">
        <v>0</v>
      </c>
      <c r="D1457" s="25" t="str">
        <f t="shared" si="44"/>
        <v>201506</v>
      </c>
      <c r="E1457" s="22" t="str">
        <f t="shared" ca="1" si="45"/>
        <v>201502</v>
      </c>
      <c r="F1457" s="22">
        <v>2015</v>
      </c>
    </row>
    <row r="1458" spans="1:6" ht="15.75">
      <c r="A1458" s="22" t="s">
        <v>1441</v>
      </c>
      <c r="B1458" s="26">
        <v>42039</v>
      </c>
      <c r="C1458" s="27">
        <v>0</v>
      </c>
      <c r="D1458" s="25" t="str">
        <f t="shared" si="44"/>
        <v>201506</v>
      </c>
      <c r="E1458" s="22" t="str">
        <f t="shared" ca="1" si="45"/>
        <v>201502</v>
      </c>
      <c r="F1458" s="22">
        <v>2015</v>
      </c>
    </row>
    <row r="1459" spans="1:6" ht="15.75">
      <c r="A1459" s="22" t="s">
        <v>1441</v>
      </c>
      <c r="B1459" s="26">
        <v>42040</v>
      </c>
      <c r="C1459" s="27">
        <v>0</v>
      </c>
      <c r="D1459" s="25" t="str">
        <f t="shared" si="44"/>
        <v>201506</v>
      </c>
      <c r="E1459" s="22" t="str">
        <f t="shared" ca="1" si="45"/>
        <v>201502</v>
      </c>
      <c r="F1459" s="22">
        <v>2015</v>
      </c>
    </row>
    <row r="1460" spans="1:6" ht="15.75">
      <c r="A1460" s="22" t="s">
        <v>1441</v>
      </c>
      <c r="B1460" s="26">
        <v>42041</v>
      </c>
      <c r="C1460" s="27">
        <v>0</v>
      </c>
      <c r="D1460" s="25" t="str">
        <f t="shared" si="44"/>
        <v>201506</v>
      </c>
      <c r="E1460" s="22" t="str">
        <f t="shared" ca="1" si="45"/>
        <v>201502</v>
      </c>
      <c r="F1460" s="22">
        <v>2015</v>
      </c>
    </row>
    <row r="1461" spans="1:6" ht="15.75">
      <c r="A1461" s="22" t="s">
        <v>1441</v>
      </c>
      <c r="B1461" s="26">
        <v>42042</v>
      </c>
      <c r="C1461" s="27">
        <v>0</v>
      </c>
      <c r="D1461" s="25" t="str">
        <f t="shared" si="44"/>
        <v>201506</v>
      </c>
      <c r="E1461" s="22" t="str">
        <f t="shared" ca="1" si="45"/>
        <v>201502</v>
      </c>
      <c r="F1461" s="22">
        <v>2015</v>
      </c>
    </row>
    <row r="1462" spans="1:6" ht="15.75">
      <c r="A1462" s="22" t="s">
        <v>1441</v>
      </c>
      <c r="B1462" s="26">
        <v>42043</v>
      </c>
      <c r="C1462" s="27">
        <v>0</v>
      </c>
      <c r="D1462" s="25" t="str">
        <f t="shared" si="44"/>
        <v>201506</v>
      </c>
      <c r="E1462" s="22" t="str">
        <f t="shared" ca="1" si="45"/>
        <v>201502</v>
      </c>
      <c r="F1462" s="22">
        <v>2015</v>
      </c>
    </row>
    <row r="1463" spans="1:6" ht="15.75">
      <c r="A1463" s="22" t="s">
        <v>1441</v>
      </c>
      <c r="B1463" s="26">
        <v>42044</v>
      </c>
      <c r="C1463" s="27">
        <v>0</v>
      </c>
      <c r="D1463" s="25" t="str">
        <f t="shared" si="44"/>
        <v>201507</v>
      </c>
      <c r="E1463" s="22" t="str">
        <f t="shared" ca="1" si="45"/>
        <v>201502</v>
      </c>
      <c r="F1463" s="22">
        <v>2015</v>
      </c>
    </row>
    <row r="1464" spans="1:6" ht="15.75">
      <c r="A1464" s="22" t="s">
        <v>1441</v>
      </c>
      <c r="B1464" s="26">
        <v>42045</v>
      </c>
      <c r="C1464" s="27">
        <v>0</v>
      </c>
      <c r="D1464" s="25" t="str">
        <f t="shared" si="44"/>
        <v>201507</v>
      </c>
      <c r="E1464" s="22" t="str">
        <f t="shared" ca="1" si="45"/>
        <v>201502</v>
      </c>
      <c r="F1464" s="22">
        <v>2015</v>
      </c>
    </row>
    <row r="1465" spans="1:6" ht="15.75">
      <c r="A1465" s="22" t="s">
        <v>1441</v>
      </c>
      <c r="B1465" s="26">
        <v>42046</v>
      </c>
      <c r="C1465" s="27">
        <v>0</v>
      </c>
      <c r="D1465" s="25" t="str">
        <f t="shared" si="44"/>
        <v>201507</v>
      </c>
      <c r="E1465" s="22" t="str">
        <f t="shared" ca="1" si="45"/>
        <v>201502</v>
      </c>
      <c r="F1465" s="22">
        <v>2015</v>
      </c>
    </row>
    <row r="1466" spans="1:6" ht="15.75">
      <c r="A1466" s="22" t="s">
        <v>1441</v>
      </c>
      <c r="B1466" s="26">
        <v>42047</v>
      </c>
      <c r="C1466" s="27">
        <v>0</v>
      </c>
      <c r="D1466" s="25" t="str">
        <f t="shared" si="44"/>
        <v>201507</v>
      </c>
      <c r="E1466" s="22" t="str">
        <f t="shared" ca="1" si="45"/>
        <v>201502</v>
      </c>
      <c r="F1466" s="22">
        <v>2015</v>
      </c>
    </row>
    <row r="1467" spans="1:6" ht="15.75">
      <c r="A1467" s="22" t="s">
        <v>1441</v>
      </c>
      <c r="B1467" s="26">
        <v>42048</v>
      </c>
      <c r="C1467" s="27">
        <v>0</v>
      </c>
      <c r="D1467" s="25" t="str">
        <f t="shared" si="44"/>
        <v>201507</v>
      </c>
      <c r="E1467" s="22" t="str">
        <f t="shared" ca="1" si="45"/>
        <v>201502</v>
      </c>
      <c r="F1467" s="22">
        <v>2015</v>
      </c>
    </row>
    <row r="1468" spans="1:6" ht="15.75">
      <c r="A1468" s="22" t="s">
        <v>1441</v>
      </c>
      <c r="B1468" s="26">
        <v>42049</v>
      </c>
      <c r="C1468" s="27">
        <v>0</v>
      </c>
      <c r="D1468" s="25" t="str">
        <f t="shared" si="44"/>
        <v>201507</v>
      </c>
      <c r="E1468" s="22" t="str">
        <f t="shared" ca="1" si="45"/>
        <v>201502</v>
      </c>
      <c r="F1468" s="22">
        <v>2015</v>
      </c>
    </row>
    <row r="1469" spans="1:6" ht="15.75">
      <c r="A1469" s="22" t="s">
        <v>1441</v>
      </c>
      <c r="B1469" s="26">
        <v>42050</v>
      </c>
      <c r="C1469" s="27">
        <v>0</v>
      </c>
      <c r="D1469" s="25" t="str">
        <f t="shared" si="44"/>
        <v>201507</v>
      </c>
      <c r="E1469" s="22" t="str">
        <f t="shared" ca="1" si="45"/>
        <v>201502</v>
      </c>
      <c r="F1469" s="22">
        <v>2015</v>
      </c>
    </row>
    <row r="1470" spans="1:6" ht="15.75">
      <c r="A1470" s="22" t="s">
        <v>1441</v>
      </c>
      <c r="B1470" s="26">
        <v>42051</v>
      </c>
      <c r="C1470" s="27">
        <v>0</v>
      </c>
      <c r="D1470" s="25" t="str">
        <f t="shared" si="44"/>
        <v>201508</v>
      </c>
      <c r="E1470" s="22" t="str">
        <f t="shared" ca="1" si="45"/>
        <v>201502</v>
      </c>
      <c r="F1470" s="22">
        <v>2015</v>
      </c>
    </row>
    <row r="1471" spans="1:6" ht="15.75">
      <c r="A1471" s="22" t="s">
        <v>1441</v>
      </c>
      <c r="B1471" s="26">
        <v>42052</v>
      </c>
      <c r="C1471" s="27">
        <v>0</v>
      </c>
      <c r="D1471" s="25" t="str">
        <f t="shared" si="44"/>
        <v>201508</v>
      </c>
      <c r="E1471" s="22" t="str">
        <f t="shared" ca="1" si="45"/>
        <v>201502</v>
      </c>
      <c r="F1471" s="22">
        <v>2015</v>
      </c>
    </row>
    <row r="1472" spans="1:6" ht="15.75">
      <c r="A1472" s="22" t="s">
        <v>1441</v>
      </c>
      <c r="B1472" s="26">
        <v>42053</v>
      </c>
      <c r="C1472" s="27">
        <v>0</v>
      </c>
      <c r="D1472" s="25" t="str">
        <f t="shared" si="44"/>
        <v>201508</v>
      </c>
      <c r="E1472" s="22" t="str">
        <f t="shared" ca="1" si="45"/>
        <v>201502</v>
      </c>
      <c r="F1472" s="22">
        <v>2015</v>
      </c>
    </row>
    <row r="1473" spans="1:6" ht="15.75">
      <c r="A1473" s="22" t="s">
        <v>1441</v>
      </c>
      <c r="B1473" s="26">
        <v>42054</v>
      </c>
      <c r="C1473" s="27">
        <v>0</v>
      </c>
      <c r="D1473" s="25" t="str">
        <f t="shared" si="44"/>
        <v>201508</v>
      </c>
      <c r="E1473" s="22" t="str">
        <f t="shared" ca="1" si="45"/>
        <v>201502</v>
      </c>
      <c r="F1473" s="22">
        <v>2015</v>
      </c>
    </row>
    <row r="1474" spans="1:6" ht="15.75">
      <c r="A1474" s="22" t="s">
        <v>1441</v>
      </c>
      <c r="B1474" s="26">
        <v>42055</v>
      </c>
      <c r="C1474" s="27">
        <v>0</v>
      </c>
      <c r="D1474" s="25" t="str">
        <f t="shared" si="44"/>
        <v>201508</v>
      </c>
      <c r="E1474" s="22" t="str">
        <f t="shared" ca="1" si="45"/>
        <v>201502</v>
      </c>
      <c r="F1474" s="22">
        <v>2015</v>
      </c>
    </row>
    <row r="1475" spans="1:6" ht="15.75">
      <c r="A1475" s="22" t="s">
        <v>1441</v>
      </c>
      <c r="B1475" s="26">
        <v>42056</v>
      </c>
      <c r="C1475" s="27">
        <v>0</v>
      </c>
      <c r="D1475" s="25" t="str">
        <f t="shared" ref="D1475:D1538" si="46">CONCATENATE(YEAR(B1475-WEEKDAY(B1475,3)+3),TEXT(WEEKNUM(B1475,21),"00"))</f>
        <v>201508</v>
      </c>
      <c r="E1475" s="22" t="str">
        <f t="shared" ref="E1475:E1538" ca="1" si="47">IF(
  AND(
    YEAR(B1475)=YEAR(TODAY())-1,
    MONTH(B1475)=MONTH(TODAY()),
    DAY(B1475)&gt;DAY($H$2)
  ),
  0,
  CONCATENATE(YEAR(B1475),TEXT(MONTH(B1475),"00"))
)</f>
        <v>201502</v>
      </c>
      <c r="F1475" s="22">
        <v>2015</v>
      </c>
    </row>
    <row r="1476" spans="1:6" ht="15.75">
      <c r="A1476" s="22" t="s">
        <v>1441</v>
      </c>
      <c r="B1476" s="26">
        <v>42057</v>
      </c>
      <c r="C1476" s="27">
        <v>0</v>
      </c>
      <c r="D1476" s="25" t="str">
        <f t="shared" si="46"/>
        <v>201508</v>
      </c>
      <c r="E1476" s="22" t="str">
        <f t="shared" ca="1" si="47"/>
        <v>201502</v>
      </c>
      <c r="F1476" s="22">
        <v>2015</v>
      </c>
    </row>
    <row r="1477" spans="1:6" ht="15.75">
      <c r="A1477" s="22" t="s">
        <v>1441</v>
      </c>
      <c r="B1477" s="26">
        <v>42058</v>
      </c>
      <c r="C1477" s="27">
        <v>0</v>
      </c>
      <c r="D1477" s="25" t="str">
        <f t="shared" si="46"/>
        <v>201509</v>
      </c>
      <c r="E1477" s="22" t="str">
        <f t="shared" ca="1" si="47"/>
        <v>201502</v>
      </c>
      <c r="F1477" s="22">
        <v>2015</v>
      </c>
    </row>
    <row r="1478" spans="1:6" ht="15.75">
      <c r="A1478" s="22" t="s">
        <v>1441</v>
      </c>
      <c r="B1478" s="26">
        <v>42059</v>
      </c>
      <c r="C1478" s="27">
        <v>0</v>
      </c>
      <c r="D1478" s="25" t="str">
        <f t="shared" si="46"/>
        <v>201509</v>
      </c>
      <c r="E1478" s="22" t="str">
        <f t="shared" ca="1" si="47"/>
        <v>201502</v>
      </c>
      <c r="F1478" s="22">
        <v>2015</v>
      </c>
    </row>
    <row r="1479" spans="1:6" ht="15.75">
      <c r="A1479" s="22" t="s">
        <v>1441</v>
      </c>
      <c r="B1479" s="26">
        <v>42060</v>
      </c>
      <c r="C1479" s="27">
        <v>0</v>
      </c>
      <c r="D1479" s="25" t="str">
        <f t="shared" si="46"/>
        <v>201509</v>
      </c>
      <c r="E1479" s="22" t="str">
        <f t="shared" ca="1" si="47"/>
        <v>201502</v>
      </c>
      <c r="F1479" s="22">
        <v>2015</v>
      </c>
    </row>
    <row r="1480" spans="1:6" ht="15.75">
      <c r="A1480" s="22" t="s">
        <v>1441</v>
      </c>
      <c r="B1480" s="26">
        <v>42061</v>
      </c>
      <c r="C1480" s="27">
        <v>0</v>
      </c>
      <c r="D1480" s="25" t="str">
        <f t="shared" si="46"/>
        <v>201509</v>
      </c>
      <c r="E1480" s="22" t="str">
        <f t="shared" ca="1" si="47"/>
        <v>201502</v>
      </c>
      <c r="F1480" s="22">
        <v>2015</v>
      </c>
    </row>
    <row r="1481" spans="1:6" ht="15.75">
      <c r="A1481" s="22" t="s">
        <v>1441</v>
      </c>
      <c r="B1481" s="26">
        <v>42062</v>
      </c>
      <c r="C1481" s="27">
        <v>0</v>
      </c>
      <c r="D1481" s="25" t="str">
        <f t="shared" si="46"/>
        <v>201509</v>
      </c>
      <c r="E1481" s="22" t="str">
        <f t="shared" ca="1" si="47"/>
        <v>201502</v>
      </c>
      <c r="F1481" s="22">
        <v>2015</v>
      </c>
    </row>
    <row r="1482" spans="1:6" ht="15.75">
      <c r="A1482" s="22" t="s">
        <v>1441</v>
      </c>
      <c r="B1482" s="26">
        <v>42063</v>
      </c>
      <c r="C1482" s="27">
        <v>0</v>
      </c>
      <c r="D1482" s="25" t="str">
        <f t="shared" si="46"/>
        <v>201509</v>
      </c>
      <c r="E1482" s="22" t="str">
        <f t="shared" ca="1" si="47"/>
        <v>201502</v>
      </c>
      <c r="F1482" s="22">
        <v>2015</v>
      </c>
    </row>
    <row r="1483" spans="1:6" ht="15.75">
      <c r="A1483" s="22" t="s">
        <v>1441</v>
      </c>
      <c r="B1483" s="26">
        <v>42064</v>
      </c>
      <c r="C1483" s="27">
        <v>0</v>
      </c>
      <c r="D1483" s="25" t="str">
        <f t="shared" si="46"/>
        <v>201509</v>
      </c>
      <c r="E1483" s="22" t="str">
        <f t="shared" ca="1" si="47"/>
        <v>201503</v>
      </c>
      <c r="F1483" s="22">
        <v>2015</v>
      </c>
    </row>
    <row r="1484" spans="1:6" ht="15.75">
      <c r="A1484" s="22" t="s">
        <v>1441</v>
      </c>
      <c r="B1484" s="26">
        <v>42065</v>
      </c>
      <c r="C1484" s="27">
        <v>0</v>
      </c>
      <c r="D1484" s="25" t="str">
        <f t="shared" si="46"/>
        <v>201510</v>
      </c>
      <c r="E1484" s="22" t="str">
        <f t="shared" ca="1" si="47"/>
        <v>201503</v>
      </c>
      <c r="F1484" s="22">
        <v>2015</v>
      </c>
    </row>
    <row r="1485" spans="1:6" ht="15.75">
      <c r="A1485" s="22" t="s">
        <v>1441</v>
      </c>
      <c r="B1485" s="26">
        <v>42066</v>
      </c>
      <c r="C1485" s="27">
        <v>0</v>
      </c>
      <c r="D1485" s="25" t="str">
        <f t="shared" si="46"/>
        <v>201510</v>
      </c>
      <c r="E1485" s="22" t="str">
        <f t="shared" ca="1" si="47"/>
        <v>201503</v>
      </c>
      <c r="F1485" s="22">
        <v>2015</v>
      </c>
    </row>
    <row r="1486" spans="1:6" ht="15.75">
      <c r="A1486" s="22" t="s">
        <v>1441</v>
      </c>
      <c r="B1486" s="26">
        <v>42067</v>
      </c>
      <c r="C1486" s="27">
        <v>0</v>
      </c>
      <c r="D1486" s="25" t="str">
        <f t="shared" si="46"/>
        <v>201510</v>
      </c>
      <c r="E1486" s="22" t="str">
        <f t="shared" ca="1" si="47"/>
        <v>201503</v>
      </c>
      <c r="F1486" s="22">
        <v>2015</v>
      </c>
    </row>
    <row r="1487" spans="1:6" ht="15.75">
      <c r="A1487" s="22" t="s">
        <v>1441</v>
      </c>
      <c r="B1487" s="26">
        <v>42068</v>
      </c>
      <c r="C1487" s="27">
        <v>0</v>
      </c>
      <c r="D1487" s="25" t="str">
        <f t="shared" si="46"/>
        <v>201510</v>
      </c>
      <c r="E1487" s="22" t="str">
        <f t="shared" ca="1" si="47"/>
        <v>201503</v>
      </c>
      <c r="F1487" s="22">
        <v>2015</v>
      </c>
    </row>
    <row r="1488" spans="1:6" ht="15.75">
      <c r="A1488" s="22" t="s">
        <v>1441</v>
      </c>
      <c r="B1488" s="26">
        <v>42069</v>
      </c>
      <c r="C1488" s="27">
        <v>0</v>
      </c>
      <c r="D1488" s="25" t="str">
        <f t="shared" si="46"/>
        <v>201510</v>
      </c>
      <c r="E1488" s="22" t="str">
        <f t="shared" ca="1" si="47"/>
        <v>201503</v>
      </c>
      <c r="F1488" s="22">
        <v>2015</v>
      </c>
    </row>
    <row r="1489" spans="1:6" ht="15.75">
      <c r="A1489" s="22" t="s">
        <v>1441</v>
      </c>
      <c r="B1489" s="26">
        <v>42070</v>
      </c>
      <c r="C1489" s="27">
        <v>0</v>
      </c>
      <c r="D1489" s="25" t="str">
        <f t="shared" si="46"/>
        <v>201510</v>
      </c>
      <c r="E1489" s="22" t="str">
        <f t="shared" ca="1" si="47"/>
        <v>201503</v>
      </c>
      <c r="F1489" s="22">
        <v>2015</v>
      </c>
    </row>
    <row r="1490" spans="1:6" ht="15.75">
      <c r="A1490" s="22" t="s">
        <v>1441</v>
      </c>
      <c r="B1490" s="26">
        <v>42071</v>
      </c>
      <c r="C1490" s="27">
        <v>0</v>
      </c>
      <c r="D1490" s="25" t="str">
        <f t="shared" si="46"/>
        <v>201510</v>
      </c>
      <c r="E1490" s="22" t="str">
        <f t="shared" ca="1" si="47"/>
        <v>201503</v>
      </c>
      <c r="F1490" s="22">
        <v>2015</v>
      </c>
    </row>
    <row r="1491" spans="1:6" ht="15.75">
      <c r="A1491" s="22" t="s">
        <v>1441</v>
      </c>
      <c r="B1491" s="26">
        <v>42072</v>
      </c>
      <c r="C1491" s="27">
        <v>0</v>
      </c>
      <c r="D1491" s="25" t="str">
        <f t="shared" si="46"/>
        <v>201511</v>
      </c>
      <c r="E1491" s="22" t="str">
        <f t="shared" ca="1" si="47"/>
        <v>201503</v>
      </c>
      <c r="F1491" s="22">
        <v>2015</v>
      </c>
    </row>
    <row r="1492" spans="1:6" ht="15.75">
      <c r="A1492" s="22" t="s">
        <v>1441</v>
      </c>
      <c r="B1492" s="26">
        <v>42073</v>
      </c>
      <c r="C1492" s="27">
        <v>0</v>
      </c>
      <c r="D1492" s="25" t="str">
        <f t="shared" si="46"/>
        <v>201511</v>
      </c>
      <c r="E1492" s="22" t="str">
        <f t="shared" ca="1" si="47"/>
        <v>201503</v>
      </c>
      <c r="F1492" s="22">
        <v>2015</v>
      </c>
    </row>
    <row r="1493" spans="1:6" ht="15.75">
      <c r="A1493" s="22" t="s">
        <v>1441</v>
      </c>
      <c r="B1493" s="26">
        <v>42074</v>
      </c>
      <c r="C1493" s="27">
        <v>0</v>
      </c>
      <c r="D1493" s="25" t="str">
        <f t="shared" si="46"/>
        <v>201511</v>
      </c>
      <c r="E1493" s="22" t="str">
        <f t="shared" ca="1" si="47"/>
        <v>201503</v>
      </c>
      <c r="F1493" s="22">
        <v>2015</v>
      </c>
    </row>
    <row r="1494" spans="1:6" ht="15.75">
      <c r="A1494" s="22" t="s">
        <v>1441</v>
      </c>
      <c r="B1494" s="26">
        <v>42075</v>
      </c>
      <c r="C1494" s="27">
        <v>0</v>
      </c>
      <c r="D1494" s="25" t="str">
        <f t="shared" si="46"/>
        <v>201511</v>
      </c>
      <c r="E1494" s="22" t="str">
        <f t="shared" ca="1" si="47"/>
        <v>201503</v>
      </c>
      <c r="F1494" s="22">
        <v>2015</v>
      </c>
    </row>
    <row r="1495" spans="1:6" ht="15.75">
      <c r="A1495" s="22" t="s">
        <v>1441</v>
      </c>
      <c r="B1495" s="26">
        <v>42076</v>
      </c>
      <c r="C1495" s="27">
        <v>0</v>
      </c>
      <c r="D1495" s="25" t="str">
        <f t="shared" si="46"/>
        <v>201511</v>
      </c>
      <c r="E1495" s="22" t="str">
        <f t="shared" ca="1" si="47"/>
        <v>201503</v>
      </c>
      <c r="F1495" s="22">
        <v>2015</v>
      </c>
    </row>
    <row r="1496" spans="1:6" ht="15.75">
      <c r="A1496" s="22" t="s">
        <v>1441</v>
      </c>
      <c r="B1496" s="26">
        <v>42077</v>
      </c>
      <c r="C1496" s="27">
        <v>0</v>
      </c>
      <c r="D1496" s="25" t="str">
        <f t="shared" si="46"/>
        <v>201511</v>
      </c>
      <c r="E1496" s="22" t="str">
        <f t="shared" ca="1" si="47"/>
        <v>201503</v>
      </c>
      <c r="F1496" s="22">
        <v>2015</v>
      </c>
    </row>
    <row r="1497" spans="1:6" ht="15.75">
      <c r="A1497" s="22" t="s">
        <v>1441</v>
      </c>
      <c r="B1497" s="26">
        <v>42078</v>
      </c>
      <c r="C1497" s="27">
        <v>0</v>
      </c>
      <c r="D1497" s="25" t="str">
        <f t="shared" si="46"/>
        <v>201511</v>
      </c>
      <c r="E1497" s="22" t="str">
        <f t="shared" ca="1" si="47"/>
        <v>201503</v>
      </c>
      <c r="F1497" s="22">
        <v>2015</v>
      </c>
    </row>
    <row r="1498" spans="1:6" ht="15.75">
      <c r="A1498" s="22" t="s">
        <v>1441</v>
      </c>
      <c r="B1498" s="26">
        <v>42079</v>
      </c>
      <c r="C1498" s="27">
        <v>0</v>
      </c>
      <c r="D1498" s="25" t="str">
        <f t="shared" si="46"/>
        <v>201512</v>
      </c>
      <c r="E1498" s="22" t="str">
        <f t="shared" ca="1" si="47"/>
        <v>201503</v>
      </c>
      <c r="F1498" s="22">
        <v>2015</v>
      </c>
    </row>
    <row r="1499" spans="1:6" ht="15.75">
      <c r="A1499" s="22" t="s">
        <v>1441</v>
      </c>
      <c r="B1499" s="26">
        <v>42080</v>
      </c>
      <c r="C1499" s="27">
        <v>0</v>
      </c>
      <c r="D1499" s="25" t="str">
        <f t="shared" si="46"/>
        <v>201512</v>
      </c>
      <c r="E1499" s="22" t="str">
        <f t="shared" ca="1" si="47"/>
        <v>201503</v>
      </c>
      <c r="F1499" s="22">
        <v>2015</v>
      </c>
    </row>
    <row r="1500" spans="1:6" ht="15.75">
      <c r="A1500" s="22" t="s">
        <v>1441</v>
      </c>
      <c r="B1500" s="26">
        <v>42081</v>
      </c>
      <c r="C1500" s="27">
        <v>0</v>
      </c>
      <c r="D1500" s="25" t="str">
        <f t="shared" si="46"/>
        <v>201512</v>
      </c>
      <c r="E1500" s="22" t="str">
        <f t="shared" ca="1" si="47"/>
        <v>201503</v>
      </c>
      <c r="F1500" s="22">
        <v>2015</v>
      </c>
    </row>
    <row r="1501" spans="1:6" ht="15.75">
      <c r="A1501" s="22" t="s">
        <v>1441</v>
      </c>
      <c r="B1501" s="26">
        <v>42082</v>
      </c>
      <c r="C1501" s="27">
        <v>0</v>
      </c>
      <c r="D1501" s="25" t="str">
        <f t="shared" si="46"/>
        <v>201512</v>
      </c>
      <c r="E1501" s="22" t="str">
        <f t="shared" ca="1" si="47"/>
        <v>201503</v>
      </c>
      <c r="F1501" s="22">
        <v>2015</v>
      </c>
    </row>
    <row r="1502" spans="1:6" ht="15.75">
      <c r="A1502" s="22" t="s">
        <v>1441</v>
      </c>
      <c r="B1502" s="26">
        <v>42083</v>
      </c>
      <c r="C1502" s="27">
        <v>0</v>
      </c>
      <c r="D1502" s="25" t="str">
        <f t="shared" si="46"/>
        <v>201512</v>
      </c>
      <c r="E1502" s="22" t="str">
        <f t="shared" ca="1" si="47"/>
        <v>201503</v>
      </c>
      <c r="F1502" s="22">
        <v>2015</v>
      </c>
    </row>
    <row r="1503" spans="1:6" ht="15.75">
      <c r="A1503" s="22" t="s">
        <v>1441</v>
      </c>
      <c r="B1503" s="26">
        <v>42084</v>
      </c>
      <c r="C1503" s="27">
        <v>0</v>
      </c>
      <c r="D1503" s="25" t="str">
        <f t="shared" si="46"/>
        <v>201512</v>
      </c>
      <c r="E1503" s="22" t="str">
        <f t="shared" ca="1" si="47"/>
        <v>201503</v>
      </c>
      <c r="F1503" s="22">
        <v>2015</v>
      </c>
    </row>
    <row r="1504" spans="1:6" ht="15.75">
      <c r="A1504" s="22" t="s">
        <v>1441</v>
      </c>
      <c r="B1504" s="26">
        <v>42085</v>
      </c>
      <c r="C1504" s="27">
        <v>0</v>
      </c>
      <c r="D1504" s="25" t="str">
        <f t="shared" si="46"/>
        <v>201512</v>
      </c>
      <c r="E1504" s="22" t="str">
        <f t="shared" ca="1" si="47"/>
        <v>201503</v>
      </c>
      <c r="F1504" s="22">
        <v>2015</v>
      </c>
    </row>
    <row r="1505" spans="1:6" ht="15.75">
      <c r="A1505" s="22" t="s">
        <v>1441</v>
      </c>
      <c r="B1505" s="26">
        <v>42086</v>
      </c>
      <c r="C1505" s="27">
        <v>0</v>
      </c>
      <c r="D1505" s="25" t="str">
        <f t="shared" si="46"/>
        <v>201513</v>
      </c>
      <c r="E1505" s="22" t="str">
        <f t="shared" ca="1" si="47"/>
        <v>201503</v>
      </c>
      <c r="F1505" s="22">
        <v>2015</v>
      </c>
    </row>
    <row r="1506" spans="1:6" ht="15.75">
      <c r="A1506" s="22" t="s">
        <v>1441</v>
      </c>
      <c r="B1506" s="26">
        <v>42087</v>
      </c>
      <c r="C1506" s="27">
        <v>0</v>
      </c>
      <c r="D1506" s="25" t="str">
        <f t="shared" si="46"/>
        <v>201513</v>
      </c>
      <c r="E1506" s="22" t="str">
        <f t="shared" ca="1" si="47"/>
        <v>201503</v>
      </c>
      <c r="F1506" s="22">
        <v>2015</v>
      </c>
    </row>
    <row r="1507" spans="1:6" ht="15.75">
      <c r="A1507" s="22" t="s">
        <v>1441</v>
      </c>
      <c r="B1507" s="26">
        <v>42088</v>
      </c>
      <c r="C1507" s="27">
        <v>0</v>
      </c>
      <c r="D1507" s="25" t="str">
        <f t="shared" si="46"/>
        <v>201513</v>
      </c>
      <c r="E1507" s="22" t="str">
        <f t="shared" ca="1" si="47"/>
        <v>201503</v>
      </c>
      <c r="F1507" s="22">
        <v>2015</v>
      </c>
    </row>
    <row r="1508" spans="1:6" ht="15.75">
      <c r="A1508" s="22" t="s">
        <v>1441</v>
      </c>
      <c r="B1508" s="26">
        <v>42089</v>
      </c>
      <c r="C1508" s="27">
        <v>0</v>
      </c>
      <c r="D1508" s="25" t="str">
        <f t="shared" si="46"/>
        <v>201513</v>
      </c>
      <c r="E1508" s="22" t="str">
        <f t="shared" ca="1" si="47"/>
        <v>201503</v>
      </c>
      <c r="F1508" s="22">
        <v>2015</v>
      </c>
    </row>
    <row r="1509" spans="1:6" ht="15.75">
      <c r="A1509" s="22" t="s">
        <v>1441</v>
      </c>
      <c r="B1509" s="26">
        <v>42090</v>
      </c>
      <c r="C1509" s="27">
        <v>0</v>
      </c>
      <c r="D1509" s="25" t="str">
        <f t="shared" si="46"/>
        <v>201513</v>
      </c>
      <c r="E1509" s="22" t="str">
        <f t="shared" ca="1" si="47"/>
        <v>201503</v>
      </c>
      <c r="F1509" s="22">
        <v>2015</v>
      </c>
    </row>
    <row r="1510" spans="1:6" ht="15.75">
      <c r="A1510" s="22" t="s">
        <v>1441</v>
      </c>
      <c r="B1510" s="26">
        <v>42091</v>
      </c>
      <c r="C1510" s="27">
        <v>0</v>
      </c>
      <c r="D1510" s="25" t="str">
        <f t="shared" si="46"/>
        <v>201513</v>
      </c>
      <c r="E1510" s="22" t="str">
        <f t="shared" ca="1" si="47"/>
        <v>201503</v>
      </c>
      <c r="F1510" s="22">
        <v>2015</v>
      </c>
    </row>
    <row r="1511" spans="1:6" ht="15.75">
      <c r="A1511" s="22" t="s">
        <v>1441</v>
      </c>
      <c r="B1511" s="26">
        <v>42092</v>
      </c>
      <c r="C1511" s="27">
        <v>0</v>
      </c>
      <c r="D1511" s="25" t="str">
        <f t="shared" si="46"/>
        <v>201513</v>
      </c>
      <c r="E1511" s="22" t="str">
        <f t="shared" ca="1" si="47"/>
        <v>201503</v>
      </c>
      <c r="F1511" s="22">
        <v>2015</v>
      </c>
    </row>
    <row r="1512" spans="1:6" ht="15.75">
      <c r="A1512" s="22" t="s">
        <v>1441</v>
      </c>
      <c r="B1512" s="26">
        <v>42093</v>
      </c>
      <c r="C1512" s="27">
        <v>0</v>
      </c>
      <c r="D1512" s="25" t="str">
        <f t="shared" si="46"/>
        <v>201514</v>
      </c>
      <c r="E1512" s="22" t="str">
        <f t="shared" ca="1" si="47"/>
        <v>201503</v>
      </c>
      <c r="F1512" s="22">
        <v>2015</v>
      </c>
    </row>
    <row r="1513" spans="1:6" ht="15.75">
      <c r="A1513" s="22" t="s">
        <v>1441</v>
      </c>
      <c r="B1513" s="26">
        <v>42094</v>
      </c>
      <c r="C1513" s="27">
        <v>0</v>
      </c>
      <c r="D1513" s="25" t="str">
        <f t="shared" si="46"/>
        <v>201514</v>
      </c>
      <c r="E1513" s="22" t="str">
        <f t="shared" ca="1" si="47"/>
        <v>201503</v>
      </c>
      <c r="F1513" s="22">
        <v>2015</v>
      </c>
    </row>
    <row r="1514" spans="1:6" ht="15.75">
      <c r="A1514" s="22" t="s">
        <v>1441</v>
      </c>
      <c r="B1514" s="26">
        <v>42095</v>
      </c>
      <c r="C1514" s="27">
        <v>0</v>
      </c>
      <c r="D1514" s="25" t="str">
        <f t="shared" si="46"/>
        <v>201514</v>
      </c>
      <c r="E1514" s="22" t="str">
        <f t="shared" ca="1" si="47"/>
        <v>201504</v>
      </c>
      <c r="F1514" s="22">
        <v>2015</v>
      </c>
    </row>
    <row r="1515" spans="1:6" ht="15.75">
      <c r="A1515" s="22" t="s">
        <v>1441</v>
      </c>
      <c r="B1515" s="26">
        <v>42096</v>
      </c>
      <c r="C1515" s="27">
        <v>0</v>
      </c>
      <c r="D1515" s="25" t="str">
        <f t="shared" si="46"/>
        <v>201514</v>
      </c>
      <c r="E1515" s="22" t="str">
        <f t="shared" ca="1" si="47"/>
        <v>201504</v>
      </c>
      <c r="F1515" s="22">
        <v>2015</v>
      </c>
    </row>
    <row r="1516" spans="1:6" ht="15.75">
      <c r="A1516" s="22" t="s">
        <v>1441</v>
      </c>
      <c r="B1516" s="26">
        <v>42097</v>
      </c>
      <c r="C1516" s="27">
        <v>0</v>
      </c>
      <c r="D1516" s="25" t="str">
        <f t="shared" si="46"/>
        <v>201514</v>
      </c>
      <c r="E1516" s="22" t="str">
        <f t="shared" ca="1" si="47"/>
        <v>201504</v>
      </c>
      <c r="F1516" s="22">
        <v>2015</v>
      </c>
    </row>
    <row r="1517" spans="1:6" ht="15.75">
      <c r="A1517" s="22" t="s">
        <v>1441</v>
      </c>
      <c r="B1517" s="26">
        <v>42098</v>
      </c>
      <c r="C1517" s="27">
        <v>0</v>
      </c>
      <c r="D1517" s="25" t="str">
        <f t="shared" si="46"/>
        <v>201514</v>
      </c>
      <c r="E1517" s="22" t="str">
        <f t="shared" ca="1" si="47"/>
        <v>201504</v>
      </c>
      <c r="F1517" s="22">
        <v>2015</v>
      </c>
    </row>
    <row r="1518" spans="1:6" ht="15.75">
      <c r="A1518" s="22" t="s">
        <v>1441</v>
      </c>
      <c r="B1518" s="26">
        <v>42099</v>
      </c>
      <c r="C1518" s="27">
        <v>0</v>
      </c>
      <c r="D1518" s="25" t="str">
        <f t="shared" si="46"/>
        <v>201514</v>
      </c>
      <c r="E1518" s="22" t="str">
        <f t="shared" ca="1" si="47"/>
        <v>201504</v>
      </c>
      <c r="F1518" s="22">
        <v>2015</v>
      </c>
    </row>
    <row r="1519" spans="1:6" ht="15.75">
      <c r="A1519" s="22" t="s">
        <v>1441</v>
      </c>
      <c r="B1519" s="26">
        <v>42100</v>
      </c>
      <c r="C1519" s="27">
        <v>0</v>
      </c>
      <c r="D1519" s="25" t="str">
        <f t="shared" si="46"/>
        <v>201515</v>
      </c>
      <c r="E1519" s="22" t="str">
        <f t="shared" ca="1" si="47"/>
        <v>201504</v>
      </c>
      <c r="F1519" s="22">
        <v>2015</v>
      </c>
    </row>
    <row r="1520" spans="1:6" ht="15.75">
      <c r="A1520" s="22" t="s">
        <v>1441</v>
      </c>
      <c r="B1520" s="26">
        <v>42101</v>
      </c>
      <c r="C1520" s="27">
        <v>0</v>
      </c>
      <c r="D1520" s="25" t="str">
        <f t="shared" si="46"/>
        <v>201515</v>
      </c>
      <c r="E1520" s="22" t="str">
        <f t="shared" ca="1" si="47"/>
        <v>201504</v>
      </c>
      <c r="F1520" s="22">
        <v>2015</v>
      </c>
    </row>
    <row r="1521" spans="1:6" ht="15.75">
      <c r="A1521" s="22" t="s">
        <v>1441</v>
      </c>
      <c r="B1521" s="26">
        <v>42102</v>
      </c>
      <c r="C1521" s="27">
        <v>0</v>
      </c>
      <c r="D1521" s="25" t="str">
        <f t="shared" si="46"/>
        <v>201515</v>
      </c>
      <c r="E1521" s="22" t="str">
        <f t="shared" ca="1" si="47"/>
        <v>201504</v>
      </c>
      <c r="F1521" s="22">
        <v>2015</v>
      </c>
    </row>
    <row r="1522" spans="1:6" ht="15.75">
      <c r="A1522" s="22" t="s">
        <v>1441</v>
      </c>
      <c r="B1522" s="26">
        <v>42103</v>
      </c>
      <c r="C1522" s="27">
        <v>0</v>
      </c>
      <c r="D1522" s="25" t="str">
        <f t="shared" si="46"/>
        <v>201515</v>
      </c>
      <c r="E1522" s="22" t="str">
        <f t="shared" ca="1" si="47"/>
        <v>201504</v>
      </c>
      <c r="F1522" s="22">
        <v>2015</v>
      </c>
    </row>
    <row r="1523" spans="1:6" ht="15.75">
      <c r="A1523" s="22" t="s">
        <v>1441</v>
      </c>
      <c r="B1523" s="26">
        <v>42104</v>
      </c>
      <c r="C1523" s="27">
        <v>0</v>
      </c>
      <c r="D1523" s="25" t="str">
        <f t="shared" si="46"/>
        <v>201515</v>
      </c>
      <c r="E1523" s="22" t="str">
        <f t="shared" ca="1" si="47"/>
        <v>201504</v>
      </c>
      <c r="F1523" s="22">
        <v>2015</v>
      </c>
    </row>
    <row r="1524" spans="1:6" ht="15.75">
      <c r="A1524" s="22" t="s">
        <v>1441</v>
      </c>
      <c r="B1524" s="26">
        <v>42105</v>
      </c>
      <c r="C1524" s="27">
        <v>0</v>
      </c>
      <c r="D1524" s="25" t="str">
        <f t="shared" si="46"/>
        <v>201515</v>
      </c>
      <c r="E1524" s="22" t="str">
        <f t="shared" ca="1" si="47"/>
        <v>201504</v>
      </c>
      <c r="F1524" s="22">
        <v>2015</v>
      </c>
    </row>
    <row r="1525" spans="1:6" ht="15.75">
      <c r="A1525" s="22" t="s">
        <v>1441</v>
      </c>
      <c r="B1525" s="26">
        <v>42106</v>
      </c>
      <c r="C1525" s="27">
        <v>0</v>
      </c>
      <c r="D1525" s="25" t="str">
        <f t="shared" si="46"/>
        <v>201515</v>
      </c>
      <c r="E1525" s="22" t="str">
        <f t="shared" ca="1" si="47"/>
        <v>201504</v>
      </c>
      <c r="F1525" s="22">
        <v>2015</v>
      </c>
    </row>
    <row r="1526" spans="1:6" ht="15.75">
      <c r="A1526" s="22" t="s">
        <v>1441</v>
      </c>
      <c r="B1526" s="26">
        <v>42107</v>
      </c>
      <c r="C1526" s="27">
        <v>0</v>
      </c>
      <c r="D1526" s="25" t="str">
        <f t="shared" si="46"/>
        <v>201516</v>
      </c>
      <c r="E1526" s="22" t="str">
        <f t="shared" ca="1" si="47"/>
        <v>201504</v>
      </c>
      <c r="F1526" s="22">
        <v>2015</v>
      </c>
    </row>
    <row r="1527" spans="1:6" ht="15.75">
      <c r="A1527" s="22" t="s">
        <v>1441</v>
      </c>
      <c r="B1527" s="26">
        <v>42108</v>
      </c>
      <c r="C1527" s="27">
        <v>0</v>
      </c>
      <c r="D1527" s="25" t="str">
        <f t="shared" si="46"/>
        <v>201516</v>
      </c>
      <c r="E1527" s="22" t="str">
        <f t="shared" ca="1" si="47"/>
        <v>201504</v>
      </c>
      <c r="F1527" s="22">
        <v>2015</v>
      </c>
    </row>
    <row r="1528" spans="1:6" ht="15.75">
      <c r="A1528" s="22" t="s">
        <v>1441</v>
      </c>
      <c r="B1528" s="26">
        <v>42109</v>
      </c>
      <c r="C1528" s="27">
        <v>0</v>
      </c>
      <c r="D1528" s="25" t="str">
        <f t="shared" si="46"/>
        <v>201516</v>
      </c>
      <c r="E1528" s="22" t="str">
        <f t="shared" ca="1" si="47"/>
        <v>201504</v>
      </c>
      <c r="F1528" s="22">
        <v>2015</v>
      </c>
    </row>
    <row r="1529" spans="1:6" ht="15.75">
      <c r="A1529" s="22" t="s">
        <v>1441</v>
      </c>
      <c r="B1529" s="26">
        <v>42110</v>
      </c>
      <c r="C1529" s="27">
        <v>0</v>
      </c>
      <c r="D1529" s="25" t="str">
        <f t="shared" si="46"/>
        <v>201516</v>
      </c>
      <c r="E1529" s="22" t="str">
        <f t="shared" ca="1" si="47"/>
        <v>201504</v>
      </c>
      <c r="F1529" s="22">
        <v>2015</v>
      </c>
    </row>
    <row r="1530" spans="1:6" ht="15.75">
      <c r="A1530" s="22" t="s">
        <v>1441</v>
      </c>
      <c r="B1530" s="26">
        <v>42111</v>
      </c>
      <c r="C1530" s="27">
        <v>0</v>
      </c>
      <c r="D1530" s="25" t="str">
        <f t="shared" si="46"/>
        <v>201516</v>
      </c>
      <c r="E1530" s="22" t="str">
        <f t="shared" ca="1" si="47"/>
        <v>201504</v>
      </c>
      <c r="F1530" s="22">
        <v>2015</v>
      </c>
    </row>
    <row r="1531" spans="1:6" ht="15.75">
      <c r="A1531" s="22" t="s">
        <v>1441</v>
      </c>
      <c r="B1531" s="26">
        <v>42112</v>
      </c>
      <c r="C1531" s="27">
        <v>0</v>
      </c>
      <c r="D1531" s="25" t="str">
        <f t="shared" si="46"/>
        <v>201516</v>
      </c>
      <c r="E1531" s="22" t="str">
        <f t="shared" ca="1" si="47"/>
        <v>201504</v>
      </c>
      <c r="F1531" s="22">
        <v>2015</v>
      </c>
    </row>
    <row r="1532" spans="1:6" ht="15.75">
      <c r="A1532" s="22" t="s">
        <v>1441</v>
      </c>
      <c r="B1532" s="26">
        <v>42113</v>
      </c>
      <c r="C1532" s="27">
        <v>0</v>
      </c>
      <c r="D1532" s="25" t="str">
        <f t="shared" si="46"/>
        <v>201516</v>
      </c>
      <c r="E1532" s="22" t="str">
        <f t="shared" ca="1" si="47"/>
        <v>201504</v>
      </c>
      <c r="F1532" s="22">
        <v>2015</v>
      </c>
    </row>
    <row r="1533" spans="1:6" ht="15.75">
      <c r="A1533" s="22" t="s">
        <v>1441</v>
      </c>
      <c r="B1533" s="26">
        <v>42114</v>
      </c>
      <c r="C1533" s="27">
        <v>0</v>
      </c>
      <c r="D1533" s="25" t="str">
        <f t="shared" si="46"/>
        <v>201517</v>
      </c>
      <c r="E1533" s="22" t="str">
        <f t="shared" ca="1" si="47"/>
        <v>201504</v>
      </c>
      <c r="F1533" s="22">
        <v>2015</v>
      </c>
    </row>
    <row r="1534" spans="1:6" ht="15.75">
      <c r="A1534" s="22" t="s">
        <v>1441</v>
      </c>
      <c r="B1534" s="26">
        <v>42115</v>
      </c>
      <c r="C1534" s="27">
        <v>0</v>
      </c>
      <c r="D1534" s="25" t="str">
        <f t="shared" si="46"/>
        <v>201517</v>
      </c>
      <c r="E1534" s="22" t="str">
        <f t="shared" ca="1" si="47"/>
        <v>201504</v>
      </c>
      <c r="F1534" s="22">
        <v>2015</v>
      </c>
    </row>
    <row r="1535" spans="1:6" ht="15.75">
      <c r="A1535" s="22" t="s">
        <v>1441</v>
      </c>
      <c r="B1535" s="26">
        <v>42116</v>
      </c>
      <c r="C1535" s="27">
        <v>0</v>
      </c>
      <c r="D1535" s="25" t="str">
        <f t="shared" si="46"/>
        <v>201517</v>
      </c>
      <c r="E1535" s="22" t="str">
        <f t="shared" ca="1" si="47"/>
        <v>201504</v>
      </c>
      <c r="F1535" s="22">
        <v>2015</v>
      </c>
    </row>
    <row r="1536" spans="1:6" ht="15.75">
      <c r="A1536" s="22" t="s">
        <v>1441</v>
      </c>
      <c r="B1536" s="26">
        <v>42117</v>
      </c>
      <c r="C1536" s="27">
        <v>0</v>
      </c>
      <c r="D1536" s="25" t="str">
        <f t="shared" si="46"/>
        <v>201517</v>
      </c>
      <c r="E1536" s="22" t="str">
        <f t="shared" ca="1" si="47"/>
        <v>201504</v>
      </c>
      <c r="F1536" s="22">
        <v>2015</v>
      </c>
    </row>
    <row r="1537" spans="1:6" ht="15.75">
      <c r="A1537" s="22" t="s">
        <v>1441</v>
      </c>
      <c r="B1537" s="26">
        <v>42118</v>
      </c>
      <c r="C1537" s="27">
        <v>0</v>
      </c>
      <c r="D1537" s="25" t="str">
        <f t="shared" si="46"/>
        <v>201517</v>
      </c>
      <c r="E1537" s="22" t="str">
        <f t="shared" ca="1" si="47"/>
        <v>201504</v>
      </c>
      <c r="F1537" s="22">
        <v>2015</v>
      </c>
    </row>
    <row r="1538" spans="1:6" ht="15.75">
      <c r="A1538" s="22" t="s">
        <v>1441</v>
      </c>
      <c r="B1538" s="26">
        <v>42119</v>
      </c>
      <c r="C1538" s="27">
        <v>0</v>
      </c>
      <c r="D1538" s="25" t="str">
        <f t="shared" si="46"/>
        <v>201517</v>
      </c>
      <c r="E1538" s="22" t="str">
        <f t="shared" ca="1" si="47"/>
        <v>201504</v>
      </c>
      <c r="F1538" s="22">
        <v>2015</v>
      </c>
    </row>
    <row r="1539" spans="1:6" ht="15.75">
      <c r="A1539" s="22" t="s">
        <v>1441</v>
      </c>
      <c r="B1539" s="26">
        <v>42120</v>
      </c>
      <c r="C1539" s="27">
        <v>0</v>
      </c>
      <c r="D1539" s="25" t="str">
        <f t="shared" ref="D1539:D1602" si="48">CONCATENATE(YEAR(B1539-WEEKDAY(B1539,3)+3),TEXT(WEEKNUM(B1539,21),"00"))</f>
        <v>201517</v>
      </c>
      <c r="E1539" s="22" t="str">
        <f t="shared" ref="E1539:E1602" ca="1" si="49">IF(
  AND(
    YEAR(B1539)=YEAR(TODAY())-1,
    MONTH(B1539)=MONTH(TODAY()),
    DAY(B1539)&gt;DAY($H$2)
  ),
  0,
  CONCATENATE(YEAR(B1539),TEXT(MONTH(B1539),"00"))
)</f>
        <v>201504</v>
      </c>
      <c r="F1539" s="22">
        <v>2015</v>
      </c>
    </row>
    <row r="1540" spans="1:6" ht="15.75">
      <c r="A1540" s="22" t="s">
        <v>1441</v>
      </c>
      <c r="B1540" s="26">
        <v>42121</v>
      </c>
      <c r="C1540" s="27">
        <v>0</v>
      </c>
      <c r="D1540" s="25" t="str">
        <f t="shared" si="48"/>
        <v>201518</v>
      </c>
      <c r="E1540" s="22" t="str">
        <f t="shared" ca="1" si="49"/>
        <v>201504</v>
      </c>
      <c r="F1540" s="22">
        <v>2015</v>
      </c>
    </row>
    <row r="1541" spans="1:6" ht="15.75">
      <c r="A1541" s="22" t="s">
        <v>1441</v>
      </c>
      <c r="B1541" s="26">
        <v>42122</v>
      </c>
      <c r="C1541" s="27">
        <v>0</v>
      </c>
      <c r="D1541" s="25" t="str">
        <f t="shared" si="48"/>
        <v>201518</v>
      </c>
      <c r="E1541" s="22" t="str">
        <f t="shared" ca="1" si="49"/>
        <v>201504</v>
      </c>
      <c r="F1541" s="22">
        <v>2015</v>
      </c>
    </row>
    <row r="1542" spans="1:6" ht="15.75">
      <c r="A1542" s="22" t="s">
        <v>1441</v>
      </c>
      <c r="B1542" s="26">
        <v>42123</v>
      </c>
      <c r="C1542" s="27">
        <v>0</v>
      </c>
      <c r="D1542" s="25" t="str">
        <f t="shared" si="48"/>
        <v>201518</v>
      </c>
      <c r="E1542" s="22" t="str">
        <f t="shared" ca="1" si="49"/>
        <v>201504</v>
      </c>
      <c r="F1542" s="22">
        <v>2015</v>
      </c>
    </row>
    <row r="1543" spans="1:6" ht="15.75">
      <c r="A1543" s="22" t="s">
        <v>1441</v>
      </c>
      <c r="B1543" s="26">
        <v>42124</v>
      </c>
      <c r="C1543" s="27">
        <v>0</v>
      </c>
      <c r="D1543" s="25" t="str">
        <f t="shared" si="48"/>
        <v>201518</v>
      </c>
      <c r="E1543" s="22" t="str">
        <f t="shared" ca="1" si="49"/>
        <v>201504</v>
      </c>
      <c r="F1543" s="22">
        <v>2015</v>
      </c>
    </row>
    <row r="1544" spans="1:6" ht="15.75">
      <c r="A1544" s="22" t="s">
        <v>1441</v>
      </c>
      <c r="B1544" s="26">
        <v>42125</v>
      </c>
      <c r="C1544" s="27">
        <v>0</v>
      </c>
      <c r="D1544" s="25" t="str">
        <f t="shared" si="48"/>
        <v>201518</v>
      </c>
      <c r="E1544" s="22" t="str">
        <f t="shared" ca="1" si="49"/>
        <v>201505</v>
      </c>
      <c r="F1544" s="22">
        <v>2015</v>
      </c>
    </row>
    <row r="1545" spans="1:6" ht="15.75">
      <c r="A1545" s="22" t="s">
        <v>1441</v>
      </c>
      <c r="B1545" s="26">
        <v>42126</v>
      </c>
      <c r="C1545" s="27">
        <v>0</v>
      </c>
      <c r="D1545" s="25" t="str">
        <f t="shared" si="48"/>
        <v>201518</v>
      </c>
      <c r="E1545" s="22" t="str">
        <f t="shared" ca="1" si="49"/>
        <v>201505</v>
      </c>
      <c r="F1545" s="22">
        <v>2015</v>
      </c>
    </row>
    <row r="1546" spans="1:6" ht="15.75">
      <c r="A1546" s="22" t="s">
        <v>1441</v>
      </c>
      <c r="B1546" s="26">
        <v>42127</v>
      </c>
      <c r="C1546" s="27">
        <v>0</v>
      </c>
      <c r="D1546" s="25" t="str">
        <f t="shared" si="48"/>
        <v>201518</v>
      </c>
      <c r="E1546" s="22" t="str">
        <f t="shared" ca="1" si="49"/>
        <v>201505</v>
      </c>
      <c r="F1546" s="22">
        <v>2015</v>
      </c>
    </row>
    <row r="1547" spans="1:6" ht="15.75">
      <c r="A1547" s="22" t="s">
        <v>1441</v>
      </c>
      <c r="B1547" s="26">
        <v>42128</v>
      </c>
      <c r="C1547" s="27">
        <v>0</v>
      </c>
      <c r="D1547" s="25" t="str">
        <f t="shared" si="48"/>
        <v>201519</v>
      </c>
      <c r="E1547" s="22" t="str">
        <f t="shared" ca="1" si="49"/>
        <v>201505</v>
      </c>
      <c r="F1547" s="22">
        <v>2015</v>
      </c>
    </row>
    <row r="1548" spans="1:6" ht="15.75">
      <c r="A1548" s="22" t="s">
        <v>1441</v>
      </c>
      <c r="B1548" s="26">
        <v>42129</v>
      </c>
      <c r="C1548" s="27">
        <v>0</v>
      </c>
      <c r="D1548" s="25" t="str">
        <f t="shared" si="48"/>
        <v>201519</v>
      </c>
      <c r="E1548" s="22" t="str">
        <f t="shared" ca="1" si="49"/>
        <v>201505</v>
      </c>
      <c r="F1548" s="22">
        <v>2015</v>
      </c>
    </row>
    <row r="1549" spans="1:6" ht="15.75">
      <c r="A1549" s="22" t="s">
        <v>1441</v>
      </c>
      <c r="B1549" s="26">
        <v>42130</v>
      </c>
      <c r="C1549" s="27">
        <v>0</v>
      </c>
      <c r="D1549" s="25" t="str">
        <f t="shared" si="48"/>
        <v>201519</v>
      </c>
      <c r="E1549" s="22" t="str">
        <f t="shared" ca="1" si="49"/>
        <v>201505</v>
      </c>
      <c r="F1549" s="22">
        <v>2015</v>
      </c>
    </row>
    <row r="1550" spans="1:6" ht="15.75">
      <c r="A1550" s="22" t="s">
        <v>1441</v>
      </c>
      <c r="B1550" s="26">
        <v>42131</v>
      </c>
      <c r="C1550" s="27">
        <v>0</v>
      </c>
      <c r="D1550" s="25" t="str">
        <f t="shared" si="48"/>
        <v>201519</v>
      </c>
      <c r="E1550" s="22" t="str">
        <f t="shared" ca="1" si="49"/>
        <v>201505</v>
      </c>
      <c r="F1550" s="22">
        <v>2015</v>
      </c>
    </row>
    <row r="1551" spans="1:6" ht="15.75">
      <c r="A1551" s="22" t="s">
        <v>1441</v>
      </c>
      <c r="B1551" s="26">
        <v>42132</v>
      </c>
      <c r="C1551" s="27">
        <v>0</v>
      </c>
      <c r="D1551" s="25" t="str">
        <f t="shared" si="48"/>
        <v>201519</v>
      </c>
      <c r="E1551" s="22" t="str">
        <f t="shared" ca="1" si="49"/>
        <v>201505</v>
      </c>
      <c r="F1551" s="22">
        <v>2015</v>
      </c>
    </row>
    <row r="1552" spans="1:6" ht="15.75">
      <c r="A1552" s="22" t="s">
        <v>1441</v>
      </c>
      <c r="B1552" s="26">
        <v>42133</v>
      </c>
      <c r="C1552" s="27">
        <v>0</v>
      </c>
      <c r="D1552" s="25" t="str">
        <f t="shared" si="48"/>
        <v>201519</v>
      </c>
      <c r="E1552" s="22" t="str">
        <f t="shared" ca="1" si="49"/>
        <v>201505</v>
      </c>
      <c r="F1552" s="22">
        <v>2015</v>
      </c>
    </row>
    <row r="1553" spans="1:6" ht="15.75">
      <c r="A1553" s="22" t="s">
        <v>1441</v>
      </c>
      <c r="B1553" s="26">
        <v>42134</v>
      </c>
      <c r="C1553" s="27">
        <v>0</v>
      </c>
      <c r="D1553" s="25" t="str">
        <f t="shared" si="48"/>
        <v>201519</v>
      </c>
      <c r="E1553" s="22" t="str">
        <f t="shared" ca="1" si="49"/>
        <v>201505</v>
      </c>
      <c r="F1553" s="22">
        <v>2015</v>
      </c>
    </row>
    <row r="1554" spans="1:6" ht="15.75">
      <c r="A1554" s="22" t="s">
        <v>1441</v>
      </c>
      <c r="B1554" s="26">
        <v>42135</v>
      </c>
      <c r="C1554" s="27">
        <v>0</v>
      </c>
      <c r="D1554" s="25" t="str">
        <f t="shared" si="48"/>
        <v>201520</v>
      </c>
      <c r="E1554" s="22" t="str">
        <f t="shared" ca="1" si="49"/>
        <v>201505</v>
      </c>
      <c r="F1554" s="22">
        <v>2015</v>
      </c>
    </row>
    <row r="1555" spans="1:6" ht="15.75">
      <c r="A1555" s="22" t="s">
        <v>1441</v>
      </c>
      <c r="B1555" s="26">
        <v>42136</v>
      </c>
      <c r="C1555" s="27">
        <v>0</v>
      </c>
      <c r="D1555" s="25" t="str">
        <f t="shared" si="48"/>
        <v>201520</v>
      </c>
      <c r="E1555" s="22" t="str">
        <f t="shared" ca="1" si="49"/>
        <v>201505</v>
      </c>
      <c r="F1555" s="22">
        <v>2015</v>
      </c>
    </row>
    <row r="1556" spans="1:6" ht="15.75">
      <c r="A1556" s="22" t="s">
        <v>1441</v>
      </c>
      <c r="B1556" s="26">
        <v>42137</v>
      </c>
      <c r="C1556" s="27">
        <v>0</v>
      </c>
      <c r="D1556" s="25" t="str">
        <f t="shared" si="48"/>
        <v>201520</v>
      </c>
      <c r="E1556" s="22" t="str">
        <f t="shared" ca="1" si="49"/>
        <v>201505</v>
      </c>
      <c r="F1556" s="22">
        <v>2015</v>
      </c>
    </row>
    <row r="1557" spans="1:6" ht="15.75">
      <c r="A1557" s="22" t="s">
        <v>1441</v>
      </c>
      <c r="B1557" s="26">
        <v>42138</v>
      </c>
      <c r="C1557" s="27">
        <v>0</v>
      </c>
      <c r="D1557" s="25" t="str">
        <f t="shared" si="48"/>
        <v>201520</v>
      </c>
      <c r="E1557" s="22" t="str">
        <f t="shared" ca="1" si="49"/>
        <v>201505</v>
      </c>
      <c r="F1557" s="22">
        <v>2015</v>
      </c>
    </row>
    <row r="1558" spans="1:6" ht="15.75">
      <c r="A1558" s="22" t="s">
        <v>1441</v>
      </c>
      <c r="B1558" s="26">
        <v>42139</v>
      </c>
      <c r="C1558" s="27">
        <v>0</v>
      </c>
      <c r="D1558" s="25" t="str">
        <f t="shared" si="48"/>
        <v>201520</v>
      </c>
      <c r="E1558" s="22" t="str">
        <f t="shared" ca="1" si="49"/>
        <v>201505</v>
      </c>
      <c r="F1558" s="22">
        <v>2015</v>
      </c>
    </row>
    <row r="1559" spans="1:6" ht="15.75">
      <c r="A1559" s="22" t="s">
        <v>1441</v>
      </c>
      <c r="B1559" s="26">
        <v>42140</v>
      </c>
      <c r="C1559" s="27">
        <v>0</v>
      </c>
      <c r="D1559" s="25" t="str">
        <f t="shared" si="48"/>
        <v>201520</v>
      </c>
      <c r="E1559" s="22" t="str">
        <f t="shared" ca="1" si="49"/>
        <v>201505</v>
      </c>
      <c r="F1559" s="22">
        <v>2015</v>
      </c>
    </row>
    <row r="1560" spans="1:6" ht="15.75">
      <c r="A1560" s="22" t="s">
        <v>1441</v>
      </c>
      <c r="B1560" s="26">
        <v>42141</v>
      </c>
      <c r="C1560" s="27">
        <v>0</v>
      </c>
      <c r="D1560" s="25" t="str">
        <f t="shared" si="48"/>
        <v>201520</v>
      </c>
      <c r="E1560" s="22" t="str">
        <f t="shared" ca="1" si="49"/>
        <v>201505</v>
      </c>
      <c r="F1560" s="22">
        <v>2015</v>
      </c>
    </row>
    <row r="1561" spans="1:6" ht="15.75">
      <c r="A1561" s="22" t="s">
        <v>1441</v>
      </c>
      <c r="B1561" s="26">
        <v>42142</v>
      </c>
      <c r="C1561" s="27">
        <v>0</v>
      </c>
      <c r="D1561" s="25" t="str">
        <f t="shared" si="48"/>
        <v>201521</v>
      </c>
      <c r="E1561" s="22" t="str">
        <f t="shared" ca="1" si="49"/>
        <v>201505</v>
      </c>
      <c r="F1561" s="22">
        <v>2015</v>
      </c>
    </row>
    <row r="1562" spans="1:6" ht="15.75">
      <c r="A1562" s="22" t="s">
        <v>1441</v>
      </c>
      <c r="B1562" s="26">
        <v>42143</v>
      </c>
      <c r="C1562" s="27">
        <v>0</v>
      </c>
      <c r="D1562" s="25" t="str">
        <f t="shared" si="48"/>
        <v>201521</v>
      </c>
      <c r="E1562" s="22" t="str">
        <f t="shared" ca="1" si="49"/>
        <v>201505</v>
      </c>
      <c r="F1562" s="22">
        <v>2015</v>
      </c>
    </row>
    <row r="1563" spans="1:6" ht="15.75">
      <c r="A1563" s="22" t="s">
        <v>1441</v>
      </c>
      <c r="B1563" s="26">
        <v>42144</v>
      </c>
      <c r="C1563" s="27">
        <v>0</v>
      </c>
      <c r="D1563" s="25" t="str">
        <f t="shared" si="48"/>
        <v>201521</v>
      </c>
      <c r="E1563" s="22" t="str">
        <f t="shared" ca="1" si="49"/>
        <v>201505</v>
      </c>
      <c r="F1563" s="22">
        <v>2015</v>
      </c>
    </row>
    <row r="1564" spans="1:6" ht="15.75">
      <c r="A1564" s="22" t="s">
        <v>1441</v>
      </c>
      <c r="B1564" s="26">
        <v>42145</v>
      </c>
      <c r="C1564" s="27">
        <v>0</v>
      </c>
      <c r="D1564" s="25" t="str">
        <f t="shared" si="48"/>
        <v>201521</v>
      </c>
      <c r="E1564" s="22" t="str">
        <f t="shared" ca="1" si="49"/>
        <v>201505</v>
      </c>
      <c r="F1564" s="22">
        <v>2015</v>
      </c>
    </row>
    <row r="1565" spans="1:6" ht="15.75">
      <c r="A1565" s="22" t="s">
        <v>1441</v>
      </c>
      <c r="B1565" s="26">
        <v>42146</v>
      </c>
      <c r="C1565" s="27">
        <v>0</v>
      </c>
      <c r="D1565" s="25" t="str">
        <f t="shared" si="48"/>
        <v>201521</v>
      </c>
      <c r="E1565" s="22" t="str">
        <f t="shared" ca="1" si="49"/>
        <v>201505</v>
      </c>
      <c r="F1565" s="22">
        <v>2015</v>
      </c>
    </row>
    <row r="1566" spans="1:6" ht="15.75">
      <c r="A1566" s="22" t="s">
        <v>1441</v>
      </c>
      <c r="B1566" s="26">
        <v>42147</v>
      </c>
      <c r="C1566" s="27">
        <v>0</v>
      </c>
      <c r="D1566" s="25" t="str">
        <f t="shared" si="48"/>
        <v>201521</v>
      </c>
      <c r="E1566" s="22" t="str">
        <f t="shared" ca="1" si="49"/>
        <v>201505</v>
      </c>
      <c r="F1566" s="22">
        <v>2015</v>
      </c>
    </row>
    <row r="1567" spans="1:6" ht="15.75">
      <c r="A1567" s="22" t="s">
        <v>1441</v>
      </c>
      <c r="B1567" s="26">
        <v>42148</v>
      </c>
      <c r="C1567" s="27">
        <v>0</v>
      </c>
      <c r="D1567" s="25" t="str">
        <f t="shared" si="48"/>
        <v>201521</v>
      </c>
      <c r="E1567" s="22" t="str">
        <f t="shared" ca="1" si="49"/>
        <v>201505</v>
      </c>
      <c r="F1567" s="22">
        <v>2015</v>
      </c>
    </row>
    <row r="1568" spans="1:6" ht="15.75">
      <c r="A1568" s="22" t="s">
        <v>1441</v>
      </c>
      <c r="B1568" s="26">
        <v>42149</v>
      </c>
      <c r="C1568" s="27">
        <v>0</v>
      </c>
      <c r="D1568" s="25" t="str">
        <f t="shared" si="48"/>
        <v>201522</v>
      </c>
      <c r="E1568" s="22" t="str">
        <f t="shared" ca="1" si="49"/>
        <v>201505</v>
      </c>
      <c r="F1568" s="22">
        <v>2015</v>
      </c>
    </row>
    <row r="1569" spans="1:6" ht="15.75">
      <c r="A1569" s="22" t="s">
        <v>1441</v>
      </c>
      <c r="B1569" s="26">
        <v>42150</v>
      </c>
      <c r="C1569" s="27">
        <v>0</v>
      </c>
      <c r="D1569" s="25" t="str">
        <f t="shared" si="48"/>
        <v>201522</v>
      </c>
      <c r="E1569" s="22" t="str">
        <f t="shared" ca="1" si="49"/>
        <v>201505</v>
      </c>
      <c r="F1569" s="22">
        <v>2015</v>
      </c>
    </row>
    <row r="1570" spans="1:6" ht="15.75">
      <c r="A1570" s="22" t="s">
        <v>1441</v>
      </c>
      <c r="B1570" s="26">
        <v>42151</v>
      </c>
      <c r="C1570" s="27">
        <v>0</v>
      </c>
      <c r="D1570" s="25" t="str">
        <f t="shared" si="48"/>
        <v>201522</v>
      </c>
      <c r="E1570" s="22" t="str">
        <f t="shared" ca="1" si="49"/>
        <v>201505</v>
      </c>
      <c r="F1570" s="22">
        <v>2015</v>
      </c>
    </row>
    <row r="1571" spans="1:6" ht="15.75">
      <c r="A1571" s="22" t="s">
        <v>1441</v>
      </c>
      <c r="B1571" s="26">
        <v>42152</v>
      </c>
      <c r="C1571" s="27">
        <v>0</v>
      </c>
      <c r="D1571" s="25" t="str">
        <f t="shared" si="48"/>
        <v>201522</v>
      </c>
      <c r="E1571" s="22" t="str">
        <f t="shared" ca="1" si="49"/>
        <v>201505</v>
      </c>
      <c r="F1571" s="22">
        <v>2015</v>
      </c>
    </row>
    <row r="1572" spans="1:6" ht="15.75">
      <c r="A1572" s="22" t="s">
        <v>1441</v>
      </c>
      <c r="B1572" s="26">
        <v>42153</v>
      </c>
      <c r="C1572" s="27">
        <v>0</v>
      </c>
      <c r="D1572" s="25" t="str">
        <f t="shared" si="48"/>
        <v>201522</v>
      </c>
      <c r="E1572" s="22" t="str">
        <f t="shared" ca="1" si="49"/>
        <v>201505</v>
      </c>
      <c r="F1572" s="22">
        <v>2015</v>
      </c>
    </row>
    <row r="1573" spans="1:6" ht="15.75">
      <c r="A1573" s="22" t="s">
        <v>1441</v>
      </c>
      <c r="B1573" s="26">
        <v>42154</v>
      </c>
      <c r="C1573" s="27">
        <v>0</v>
      </c>
      <c r="D1573" s="25" t="str">
        <f t="shared" si="48"/>
        <v>201522</v>
      </c>
      <c r="E1573" s="22" t="str">
        <f t="shared" ca="1" si="49"/>
        <v>201505</v>
      </c>
      <c r="F1573" s="22">
        <v>2015</v>
      </c>
    </row>
    <row r="1574" spans="1:6" ht="15.75">
      <c r="A1574" s="22" t="s">
        <v>1441</v>
      </c>
      <c r="B1574" s="26">
        <v>42155</v>
      </c>
      <c r="C1574" s="27">
        <v>0</v>
      </c>
      <c r="D1574" s="25" t="str">
        <f t="shared" si="48"/>
        <v>201522</v>
      </c>
      <c r="E1574" s="22" t="str">
        <f t="shared" ca="1" si="49"/>
        <v>201505</v>
      </c>
      <c r="F1574" s="22">
        <v>2015</v>
      </c>
    </row>
    <row r="1575" spans="1:6" ht="15.75">
      <c r="A1575" s="22" t="s">
        <v>1441</v>
      </c>
      <c r="B1575" s="26">
        <v>42156</v>
      </c>
      <c r="C1575" s="27">
        <v>0</v>
      </c>
      <c r="D1575" s="25" t="str">
        <f t="shared" si="48"/>
        <v>201523</v>
      </c>
      <c r="E1575" s="22" t="str">
        <f t="shared" ca="1" si="49"/>
        <v>201506</v>
      </c>
      <c r="F1575" s="22">
        <v>2015</v>
      </c>
    </row>
    <row r="1576" spans="1:6" ht="15.75">
      <c r="A1576" s="22" t="s">
        <v>1441</v>
      </c>
      <c r="B1576" s="26">
        <v>42157</v>
      </c>
      <c r="C1576" s="27">
        <v>0</v>
      </c>
      <c r="D1576" s="25" t="str">
        <f t="shared" si="48"/>
        <v>201523</v>
      </c>
      <c r="E1576" s="22" t="str">
        <f t="shared" ca="1" si="49"/>
        <v>201506</v>
      </c>
      <c r="F1576" s="22">
        <v>2015</v>
      </c>
    </row>
    <row r="1577" spans="1:6" ht="15.75">
      <c r="A1577" s="22" t="s">
        <v>1441</v>
      </c>
      <c r="B1577" s="26">
        <v>42158</v>
      </c>
      <c r="C1577" s="27">
        <v>0</v>
      </c>
      <c r="D1577" s="25" t="str">
        <f t="shared" si="48"/>
        <v>201523</v>
      </c>
      <c r="E1577" s="22" t="str">
        <f t="shared" ca="1" si="49"/>
        <v>201506</v>
      </c>
      <c r="F1577" s="22">
        <v>2015</v>
      </c>
    </row>
    <row r="1578" spans="1:6" ht="15.75">
      <c r="A1578" s="22" t="s">
        <v>1441</v>
      </c>
      <c r="B1578" s="26">
        <v>42159</v>
      </c>
      <c r="C1578" s="27">
        <v>0</v>
      </c>
      <c r="D1578" s="25" t="str">
        <f t="shared" si="48"/>
        <v>201523</v>
      </c>
      <c r="E1578" s="22" t="str">
        <f t="shared" ca="1" si="49"/>
        <v>201506</v>
      </c>
      <c r="F1578" s="22">
        <v>2015</v>
      </c>
    </row>
    <row r="1579" spans="1:6" ht="15.75">
      <c r="A1579" s="22" t="s">
        <v>1441</v>
      </c>
      <c r="B1579" s="26">
        <v>42160</v>
      </c>
      <c r="C1579" s="27">
        <v>0</v>
      </c>
      <c r="D1579" s="25" t="str">
        <f t="shared" si="48"/>
        <v>201523</v>
      </c>
      <c r="E1579" s="22" t="str">
        <f t="shared" ca="1" si="49"/>
        <v>201506</v>
      </c>
      <c r="F1579" s="22">
        <v>2015</v>
      </c>
    </row>
    <row r="1580" spans="1:6" ht="15.75">
      <c r="A1580" s="22" t="s">
        <v>1441</v>
      </c>
      <c r="B1580" s="26">
        <v>42161</v>
      </c>
      <c r="C1580" s="27">
        <v>0</v>
      </c>
      <c r="D1580" s="25" t="str">
        <f t="shared" si="48"/>
        <v>201523</v>
      </c>
      <c r="E1580" s="22" t="str">
        <f t="shared" ca="1" si="49"/>
        <v>201506</v>
      </c>
      <c r="F1580" s="22">
        <v>2015</v>
      </c>
    </row>
    <row r="1581" spans="1:6" ht="15.75">
      <c r="A1581" s="22" t="s">
        <v>1441</v>
      </c>
      <c r="B1581" s="26">
        <v>42162</v>
      </c>
      <c r="C1581" s="27">
        <v>0</v>
      </c>
      <c r="D1581" s="25" t="str">
        <f t="shared" si="48"/>
        <v>201523</v>
      </c>
      <c r="E1581" s="22" t="str">
        <f t="shared" ca="1" si="49"/>
        <v>201506</v>
      </c>
      <c r="F1581" s="22">
        <v>2015</v>
      </c>
    </row>
    <row r="1582" spans="1:6" ht="15.75">
      <c r="A1582" s="22" t="s">
        <v>1441</v>
      </c>
      <c r="B1582" s="26">
        <v>42163</v>
      </c>
      <c r="C1582" s="27">
        <v>0</v>
      </c>
      <c r="D1582" s="25" t="str">
        <f t="shared" si="48"/>
        <v>201524</v>
      </c>
      <c r="E1582" s="22" t="str">
        <f t="shared" ca="1" si="49"/>
        <v>201506</v>
      </c>
      <c r="F1582" s="22">
        <v>2015</v>
      </c>
    </row>
    <row r="1583" spans="1:6" ht="15.75">
      <c r="A1583" s="22" t="s">
        <v>1441</v>
      </c>
      <c r="B1583" s="26">
        <v>42164</v>
      </c>
      <c r="C1583" s="27">
        <v>0</v>
      </c>
      <c r="D1583" s="25" t="str">
        <f t="shared" si="48"/>
        <v>201524</v>
      </c>
      <c r="E1583" s="22" t="str">
        <f t="shared" ca="1" si="49"/>
        <v>201506</v>
      </c>
      <c r="F1583" s="22">
        <v>2015</v>
      </c>
    </row>
    <row r="1584" spans="1:6" ht="15.75">
      <c r="A1584" s="22" t="s">
        <v>1441</v>
      </c>
      <c r="B1584" s="26">
        <v>42165</v>
      </c>
      <c r="C1584" s="27">
        <v>0</v>
      </c>
      <c r="D1584" s="25" t="str">
        <f t="shared" si="48"/>
        <v>201524</v>
      </c>
      <c r="E1584" s="22" t="str">
        <f t="shared" ca="1" si="49"/>
        <v>201506</v>
      </c>
      <c r="F1584" s="22">
        <v>2015</v>
      </c>
    </row>
    <row r="1585" spans="1:6" ht="15.75">
      <c r="A1585" s="22" t="s">
        <v>1441</v>
      </c>
      <c r="B1585" s="26">
        <v>42166</v>
      </c>
      <c r="C1585" s="27">
        <v>0</v>
      </c>
      <c r="D1585" s="25" t="str">
        <f t="shared" si="48"/>
        <v>201524</v>
      </c>
      <c r="E1585" s="22" t="str">
        <f t="shared" ca="1" si="49"/>
        <v>201506</v>
      </c>
      <c r="F1585" s="22">
        <v>2015</v>
      </c>
    </row>
    <row r="1586" spans="1:6" ht="15.75">
      <c r="A1586" s="22" t="s">
        <v>1441</v>
      </c>
      <c r="B1586" s="26">
        <v>42167</v>
      </c>
      <c r="C1586" s="27">
        <v>0</v>
      </c>
      <c r="D1586" s="25" t="str">
        <f t="shared" si="48"/>
        <v>201524</v>
      </c>
      <c r="E1586" s="22" t="str">
        <f t="shared" ca="1" si="49"/>
        <v>201506</v>
      </c>
      <c r="F1586" s="22">
        <v>2015</v>
      </c>
    </row>
    <row r="1587" spans="1:6" ht="15.75">
      <c r="A1587" s="22" t="s">
        <v>1441</v>
      </c>
      <c r="B1587" s="26">
        <v>42168</v>
      </c>
      <c r="C1587" s="27">
        <v>0</v>
      </c>
      <c r="D1587" s="25" t="str">
        <f t="shared" si="48"/>
        <v>201524</v>
      </c>
      <c r="E1587" s="22" t="str">
        <f t="shared" ca="1" si="49"/>
        <v>201506</v>
      </c>
      <c r="F1587" s="22">
        <v>2015</v>
      </c>
    </row>
    <row r="1588" spans="1:6" ht="15.75">
      <c r="A1588" s="22" t="s">
        <v>1441</v>
      </c>
      <c r="B1588" s="26">
        <v>42169</v>
      </c>
      <c r="C1588" s="27">
        <v>0</v>
      </c>
      <c r="D1588" s="25" t="str">
        <f t="shared" si="48"/>
        <v>201524</v>
      </c>
      <c r="E1588" s="22" t="str">
        <f t="shared" ca="1" si="49"/>
        <v>201506</v>
      </c>
      <c r="F1588" s="22">
        <v>2015</v>
      </c>
    </row>
    <row r="1589" spans="1:6" ht="15.75">
      <c r="A1589" s="22" t="s">
        <v>1441</v>
      </c>
      <c r="B1589" s="26">
        <v>42170</v>
      </c>
      <c r="C1589" s="27">
        <v>0</v>
      </c>
      <c r="D1589" s="25" t="str">
        <f t="shared" si="48"/>
        <v>201525</v>
      </c>
      <c r="E1589" s="22" t="str">
        <f t="shared" ca="1" si="49"/>
        <v>201506</v>
      </c>
      <c r="F1589" s="22">
        <v>2015</v>
      </c>
    </row>
    <row r="1590" spans="1:6" ht="15.75">
      <c r="A1590" s="22" t="s">
        <v>1441</v>
      </c>
      <c r="B1590" s="26">
        <v>42171</v>
      </c>
      <c r="C1590" s="27">
        <v>0</v>
      </c>
      <c r="D1590" s="25" t="str">
        <f t="shared" si="48"/>
        <v>201525</v>
      </c>
      <c r="E1590" s="22" t="str">
        <f t="shared" ca="1" si="49"/>
        <v>201506</v>
      </c>
      <c r="F1590" s="22">
        <v>2015</v>
      </c>
    </row>
    <row r="1591" spans="1:6" ht="15.75">
      <c r="A1591" s="22" t="s">
        <v>1441</v>
      </c>
      <c r="B1591" s="26">
        <v>42172</v>
      </c>
      <c r="C1591" s="27">
        <v>0</v>
      </c>
      <c r="D1591" s="25" t="str">
        <f t="shared" si="48"/>
        <v>201525</v>
      </c>
      <c r="E1591" s="22" t="str">
        <f t="shared" ca="1" si="49"/>
        <v>201506</v>
      </c>
      <c r="F1591" s="22">
        <v>2015</v>
      </c>
    </row>
    <row r="1592" spans="1:6" ht="15.75">
      <c r="A1592" s="22" t="s">
        <v>1441</v>
      </c>
      <c r="B1592" s="26">
        <v>42173</v>
      </c>
      <c r="C1592" s="27">
        <v>0</v>
      </c>
      <c r="D1592" s="25" t="str">
        <f t="shared" si="48"/>
        <v>201525</v>
      </c>
      <c r="E1592" s="22" t="str">
        <f t="shared" ca="1" si="49"/>
        <v>201506</v>
      </c>
      <c r="F1592" s="22">
        <v>2015</v>
      </c>
    </row>
    <row r="1593" spans="1:6" ht="15.75">
      <c r="A1593" s="22" t="s">
        <v>1441</v>
      </c>
      <c r="B1593" s="26">
        <v>42174</v>
      </c>
      <c r="C1593" s="27">
        <v>0</v>
      </c>
      <c r="D1593" s="25" t="str">
        <f t="shared" si="48"/>
        <v>201525</v>
      </c>
      <c r="E1593" s="22" t="str">
        <f t="shared" ca="1" si="49"/>
        <v>201506</v>
      </c>
      <c r="F1593" s="22">
        <v>2015</v>
      </c>
    </row>
    <row r="1594" spans="1:6" ht="15.75">
      <c r="A1594" s="22" t="s">
        <v>1441</v>
      </c>
      <c r="B1594" s="26">
        <v>42175</v>
      </c>
      <c r="C1594" s="27">
        <v>0</v>
      </c>
      <c r="D1594" s="25" t="str">
        <f t="shared" si="48"/>
        <v>201525</v>
      </c>
      <c r="E1594" s="22" t="str">
        <f t="shared" ca="1" si="49"/>
        <v>201506</v>
      </c>
      <c r="F1594" s="22">
        <v>2015</v>
      </c>
    </row>
    <row r="1595" spans="1:6" ht="15.75">
      <c r="A1595" s="22" t="s">
        <v>1441</v>
      </c>
      <c r="B1595" s="26">
        <v>42176</v>
      </c>
      <c r="C1595" s="27">
        <v>0</v>
      </c>
      <c r="D1595" s="25" t="str">
        <f t="shared" si="48"/>
        <v>201525</v>
      </c>
      <c r="E1595" s="22" t="str">
        <f t="shared" ca="1" si="49"/>
        <v>201506</v>
      </c>
      <c r="F1595" s="22">
        <v>2015</v>
      </c>
    </row>
    <row r="1596" spans="1:6" ht="15.75">
      <c r="A1596" s="22" t="s">
        <v>1441</v>
      </c>
      <c r="B1596" s="26">
        <v>42177</v>
      </c>
      <c r="C1596" s="27">
        <v>0</v>
      </c>
      <c r="D1596" s="25" t="str">
        <f t="shared" si="48"/>
        <v>201526</v>
      </c>
      <c r="E1596" s="22" t="str">
        <f t="shared" ca="1" si="49"/>
        <v>201506</v>
      </c>
      <c r="F1596" s="22">
        <v>2015</v>
      </c>
    </row>
    <row r="1597" spans="1:6" ht="15.75">
      <c r="A1597" s="22" t="s">
        <v>1441</v>
      </c>
      <c r="B1597" s="26">
        <v>42178</v>
      </c>
      <c r="C1597" s="27">
        <v>0</v>
      </c>
      <c r="D1597" s="25" t="str">
        <f t="shared" si="48"/>
        <v>201526</v>
      </c>
      <c r="E1597" s="22" t="str">
        <f t="shared" ca="1" si="49"/>
        <v>201506</v>
      </c>
      <c r="F1597" s="22">
        <v>2015</v>
      </c>
    </row>
    <row r="1598" spans="1:6" ht="15.75">
      <c r="A1598" s="22" t="s">
        <v>1441</v>
      </c>
      <c r="B1598" s="26">
        <v>42179</v>
      </c>
      <c r="C1598" s="27">
        <v>0</v>
      </c>
      <c r="D1598" s="25" t="str">
        <f t="shared" si="48"/>
        <v>201526</v>
      </c>
      <c r="E1598" s="22" t="str">
        <f t="shared" ca="1" si="49"/>
        <v>201506</v>
      </c>
      <c r="F1598" s="22">
        <v>2015</v>
      </c>
    </row>
    <row r="1599" spans="1:6" ht="15.75">
      <c r="A1599" s="22" t="s">
        <v>1441</v>
      </c>
      <c r="B1599" s="26">
        <v>42180</v>
      </c>
      <c r="C1599" s="27">
        <v>0</v>
      </c>
      <c r="D1599" s="25" t="str">
        <f t="shared" si="48"/>
        <v>201526</v>
      </c>
      <c r="E1599" s="22" t="str">
        <f t="shared" ca="1" si="49"/>
        <v>201506</v>
      </c>
      <c r="F1599" s="22">
        <v>2015</v>
      </c>
    </row>
    <row r="1600" spans="1:6" ht="15.75">
      <c r="A1600" s="22" t="s">
        <v>1441</v>
      </c>
      <c r="B1600" s="26">
        <v>42181</v>
      </c>
      <c r="C1600" s="27">
        <v>0</v>
      </c>
      <c r="D1600" s="25" t="str">
        <f t="shared" si="48"/>
        <v>201526</v>
      </c>
      <c r="E1600" s="22" t="str">
        <f t="shared" ca="1" si="49"/>
        <v>201506</v>
      </c>
      <c r="F1600" s="22">
        <v>2015</v>
      </c>
    </row>
    <row r="1601" spans="1:6" ht="15.75">
      <c r="A1601" s="22" t="s">
        <v>1441</v>
      </c>
      <c r="B1601" s="26">
        <v>42182</v>
      </c>
      <c r="C1601" s="27">
        <v>0</v>
      </c>
      <c r="D1601" s="25" t="str">
        <f t="shared" si="48"/>
        <v>201526</v>
      </c>
      <c r="E1601" s="22" t="str">
        <f t="shared" ca="1" si="49"/>
        <v>201506</v>
      </c>
      <c r="F1601" s="22">
        <v>2015</v>
      </c>
    </row>
    <row r="1602" spans="1:6" ht="15.75">
      <c r="A1602" s="22" t="s">
        <v>1441</v>
      </c>
      <c r="B1602" s="26">
        <v>42183</v>
      </c>
      <c r="C1602" s="27">
        <v>0</v>
      </c>
      <c r="D1602" s="25" t="str">
        <f t="shared" si="48"/>
        <v>201526</v>
      </c>
      <c r="E1602" s="22" t="str">
        <f t="shared" ca="1" si="49"/>
        <v>201506</v>
      </c>
      <c r="F1602" s="22">
        <v>2015</v>
      </c>
    </row>
    <row r="1603" spans="1:6" ht="15.75">
      <c r="A1603" s="22" t="s">
        <v>1441</v>
      </c>
      <c r="B1603" s="26">
        <v>42184</v>
      </c>
      <c r="C1603" s="27">
        <v>0</v>
      </c>
      <c r="D1603" s="25" t="str">
        <f t="shared" ref="D1603:D1666" si="50">CONCATENATE(YEAR(B1603-WEEKDAY(B1603,3)+3),TEXT(WEEKNUM(B1603,21),"00"))</f>
        <v>201527</v>
      </c>
      <c r="E1603" s="22" t="str">
        <f t="shared" ref="E1603:E1666" ca="1" si="51">IF(
  AND(
    YEAR(B1603)=YEAR(TODAY())-1,
    MONTH(B1603)=MONTH(TODAY()),
    DAY(B1603)&gt;DAY($H$2)
  ),
  0,
  CONCATENATE(YEAR(B1603),TEXT(MONTH(B1603),"00"))
)</f>
        <v>201506</v>
      </c>
      <c r="F1603" s="22">
        <v>2015</v>
      </c>
    </row>
    <row r="1604" spans="1:6" ht="15.75">
      <c r="A1604" s="22" t="s">
        <v>1441</v>
      </c>
      <c r="B1604" s="26">
        <v>42185</v>
      </c>
      <c r="C1604" s="27">
        <v>0</v>
      </c>
      <c r="D1604" s="25" t="str">
        <f t="shared" si="50"/>
        <v>201527</v>
      </c>
      <c r="E1604" s="22" t="str">
        <f t="shared" ca="1" si="51"/>
        <v>201506</v>
      </c>
      <c r="F1604" s="22">
        <v>2015</v>
      </c>
    </row>
    <row r="1605" spans="1:6" ht="15.75">
      <c r="A1605" s="22" t="s">
        <v>1441</v>
      </c>
      <c r="B1605" s="26">
        <v>42186</v>
      </c>
      <c r="C1605" s="27">
        <v>0</v>
      </c>
      <c r="D1605" s="25" t="str">
        <f t="shared" si="50"/>
        <v>201527</v>
      </c>
      <c r="E1605" s="22" t="str">
        <f t="shared" ca="1" si="51"/>
        <v>201507</v>
      </c>
      <c r="F1605" s="22">
        <v>2015</v>
      </c>
    </row>
    <row r="1606" spans="1:6" ht="15.75">
      <c r="A1606" s="22" t="s">
        <v>1441</v>
      </c>
      <c r="B1606" s="26">
        <v>42187</v>
      </c>
      <c r="C1606" s="27">
        <v>0</v>
      </c>
      <c r="D1606" s="25" t="str">
        <f t="shared" si="50"/>
        <v>201527</v>
      </c>
      <c r="E1606" s="22" t="str">
        <f t="shared" ca="1" si="51"/>
        <v>201507</v>
      </c>
      <c r="F1606" s="22">
        <v>2015</v>
      </c>
    </row>
    <row r="1607" spans="1:6" ht="15.75">
      <c r="A1607" s="22" t="s">
        <v>1441</v>
      </c>
      <c r="B1607" s="26">
        <v>42188</v>
      </c>
      <c r="C1607" s="27">
        <v>0</v>
      </c>
      <c r="D1607" s="25" t="str">
        <f t="shared" si="50"/>
        <v>201527</v>
      </c>
      <c r="E1607" s="22" t="str">
        <f t="shared" ca="1" si="51"/>
        <v>201507</v>
      </c>
      <c r="F1607" s="22">
        <v>2015</v>
      </c>
    </row>
    <row r="1608" spans="1:6" ht="15.75">
      <c r="A1608" s="22" t="s">
        <v>1441</v>
      </c>
      <c r="B1608" s="26">
        <v>42189</v>
      </c>
      <c r="C1608" s="27">
        <v>0</v>
      </c>
      <c r="D1608" s="25" t="str">
        <f t="shared" si="50"/>
        <v>201527</v>
      </c>
      <c r="E1608" s="22" t="str">
        <f t="shared" ca="1" si="51"/>
        <v>201507</v>
      </c>
      <c r="F1608" s="22">
        <v>2015</v>
      </c>
    </row>
    <row r="1609" spans="1:6" ht="15.75">
      <c r="A1609" s="22" t="s">
        <v>1441</v>
      </c>
      <c r="B1609" s="26">
        <v>42190</v>
      </c>
      <c r="C1609" s="27">
        <v>0</v>
      </c>
      <c r="D1609" s="25" t="str">
        <f t="shared" si="50"/>
        <v>201527</v>
      </c>
      <c r="E1609" s="22" t="str">
        <f t="shared" ca="1" si="51"/>
        <v>201507</v>
      </c>
      <c r="F1609" s="22">
        <v>2015</v>
      </c>
    </row>
    <row r="1610" spans="1:6" ht="15.75">
      <c r="A1610" s="22" t="s">
        <v>1441</v>
      </c>
      <c r="B1610" s="26">
        <v>42191</v>
      </c>
      <c r="C1610" s="27">
        <v>0</v>
      </c>
      <c r="D1610" s="25" t="str">
        <f t="shared" si="50"/>
        <v>201528</v>
      </c>
      <c r="E1610" s="22" t="str">
        <f t="shared" ca="1" si="51"/>
        <v>201507</v>
      </c>
      <c r="F1610" s="22">
        <v>2015</v>
      </c>
    </row>
    <row r="1611" spans="1:6" ht="15.75">
      <c r="A1611" s="22" t="s">
        <v>1441</v>
      </c>
      <c r="B1611" s="26">
        <v>42192</v>
      </c>
      <c r="C1611" s="27">
        <v>0</v>
      </c>
      <c r="D1611" s="25" t="str">
        <f t="shared" si="50"/>
        <v>201528</v>
      </c>
      <c r="E1611" s="22" t="str">
        <f t="shared" ca="1" si="51"/>
        <v>201507</v>
      </c>
      <c r="F1611" s="22">
        <v>2015</v>
      </c>
    </row>
    <row r="1612" spans="1:6" ht="15.75">
      <c r="A1612" s="22" t="s">
        <v>1441</v>
      </c>
      <c r="B1612" s="26">
        <v>42193</v>
      </c>
      <c r="C1612" s="27">
        <v>0</v>
      </c>
      <c r="D1612" s="25" t="str">
        <f t="shared" si="50"/>
        <v>201528</v>
      </c>
      <c r="E1612" s="22" t="str">
        <f t="shared" ca="1" si="51"/>
        <v>201507</v>
      </c>
      <c r="F1612" s="22">
        <v>2015</v>
      </c>
    </row>
    <row r="1613" spans="1:6" ht="15.75">
      <c r="A1613" s="22" t="s">
        <v>1441</v>
      </c>
      <c r="B1613" s="26">
        <v>42194</v>
      </c>
      <c r="C1613" s="27">
        <v>0</v>
      </c>
      <c r="D1613" s="25" t="str">
        <f t="shared" si="50"/>
        <v>201528</v>
      </c>
      <c r="E1613" s="22" t="str">
        <f t="shared" ca="1" si="51"/>
        <v>201507</v>
      </c>
      <c r="F1613" s="22">
        <v>2015</v>
      </c>
    </row>
    <row r="1614" spans="1:6" ht="15.75">
      <c r="A1614" s="22" t="s">
        <v>1441</v>
      </c>
      <c r="B1614" s="26">
        <v>42195</v>
      </c>
      <c r="C1614" s="27">
        <v>0</v>
      </c>
      <c r="D1614" s="25" t="str">
        <f t="shared" si="50"/>
        <v>201528</v>
      </c>
      <c r="E1614" s="22" t="str">
        <f t="shared" ca="1" si="51"/>
        <v>201507</v>
      </c>
      <c r="F1614" s="22">
        <v>2015</v>
      </c>
    </row>
    <row r="1615" spans="1:6" ht="15.75">
      <c r="A1615" s="22" t="s">
        <v>1441</v>
      </c>
      <c r="B1615" s="26">
        <v>42196</v>
      </c>
      <c r="C1615" s="27">
        <v>0</v>
      </c>
      <c r="D1615" s="25" t="str">
        <f t="shared" si="50"/>
        <v>201528</v>
      </c>
      <c r="E1615" s="22" t="str">
        <f t="shared" ca="1" si="51"/>
        <v>201507</v>
      </c>
      <c r="F1615" s="22">
        <v>2015</v>
      </c>
    </row>
    <row r="1616" spans="1:6" ht="15.75">
      <c r="A1616" s="22" t="s">
        <v>1441</v>
      </c>
      <c r="B1616" s="26">
        <v>42197</v>
      </c>
      <c r="C1616" s="27">
        <v>0</v>
      </c>
      <c r="D1616" s="25" t="str">
        <f t="shared" si="50"/>
        <v>201528</v>
      </c>
      <c r="E1616" s="22" t="str">
        <f t="shared" ca="1" si="51"/>
        <v>201507</v>
      </c>
      <c r="F1616" s="22">
        <v>2015</v>
      </c>
    </row>
    <row r="1617" spans="1:6" ht="15.75">
      <c r="A1617" s="22" t="s">
        <v>1441</v>
      </c>
      <c r="B1617" s="26">
        <v>42198</v>
      </c>
      <c r="C1617" s="27">
        <v>0</v>
      </c>
      <c r="D1617" s="25" t="str">
        <f t="shared" si="50"/>
        <v>201529</v>
      </c>
      <c r="E1617" s="22" t="str">
        <f t="shared" ca="1" si="51"/>
        <v>201507</v>
      </c>
      <c r="F1617" s="22">
        <v>2015</v>
      </c>
    </row>
    <row r="1618" spans="1:6" ht="15.75">
      <c r="A1618" s="22" t="s">
        <v>1441</v>
      </c>
      <c r="B1618" s="26">
        <v>42199</v>
      </c>
      <c r="C1618" s="27">
        <v>0</v>
      </c>
      <c r="D1618" s="25" t="str">
        <f t="shared" si="50"/>
        <v>201529</v>
      </c>
      <c r="E1618" s="22" t="str">
        <f t="shared" ca="1" si="51"/>
        <v>201507</v>
      </c>
      <c r="F1618" s="22">
        <v>2015</v>
      </c>
    </row>
    <row r="1619" spans="1:6" ht="15.75">
      <c r="A1619" s="22" t="s">
        <v>1441</v>
      </c>
      <c r="B1619" s="26">
        <v>42200</v>
      </c>
      <c r="C1619" s="27">
        <v>0</v>
      </c>
      <c r="D1619" s="25" t="str">
        <f t="shared" si="50"/>
        <v>201529</v>
      </c>
      <c r="E1619" s="22" t="str">
        <f t="shared" ca="1" si="51"/>
        <v>201507</v>
      </c>
      <c r="F1619" s="22">
        <v>2015</v>
      </c>
    </row>
    <row r="1620" spans="1:6" ht="15.75">
      <c r="A1620" s="22" t="s">
        <v>1441</v>
      </c>
      <c r="B1620" s="26">
        <v>42201</v>
      </c>
      <c r="C1620" s="27">
        <v>0</v>
      </c>
      <c r="D1620" s="25" t="str">
        <f t="shared" si="50"/>
        <v>201529</v>
      </c>
      <c r="E1620" s="22" t="str">
        <f t="shared" ca="1" si="51"/>
        <v>201507</v>
      </c>
      <c r="F1620" s="22">
        <v>2015</v>
      </c>
    </row>
    <row r="1621" spans="1:6" ht="15.75">
      <c r="A1621" s="22" t="s">
        <v>1441</v>
      </c>
      <c r="B1621" s="26">
        <v>42202</v>
      </c>
      <c r="C1621" s="27">
        <v>0</v>
      </c>
      <c r="D1621" s="25" t="str">
        <f t="shared" si="50"/>
        <v>201529</v>
      </c>
      <c r="E1621" s="22" t="str">
        <f t="shared" ca="1" si="51"/>
        <v>201507</v>
      </c>
      <c r="F1621" s="22">
        <v>2015</v>
      </c>
    </row>
    <row r="1622" spans="1:6" ht="15.75">
      <c r="A1622" s="22" t="s">
        <v>1441</v>
      </c>
      <c r="B1622" s="26">
        <v>42203</v>
      </c>
      <c r="C1622" s="27">
        <v>0</v>
      </c>
      <c r="D1622" s="25" t="str">
        <f t="shared" si="50"/>
        <v>201529</v>
      </c>
      <c r="E1622" s="22" t="str">
        <f t="shared" ca="1" si="51"/>
        <v>201507</v>
      </c>
      <c r="F1622" s="22">
        <v>2015</v>
      </c>
    </row>
    <row r="1623" spans="1:6" ht="15.75">
      <c r="A1623" s="22" t="s">
        <v>1441</v>
      </c>
      <c r="B1623" s="26">
        <v>42204</v>
      </c>
      <c r="C1623" s="27">
        <v>0</v>
      </c>
      <c r="D1623" s="25" t="str">
        <f t="shared" si="50"/>
        <v>201529</v>
      </c>
      <c r="E1623" s="22" t="str">
        <f t="shared" ca="1" si="51"/>
        <v>201507</v>
      </c>
      <c r="F1623" s="22">
        <v>2015</v>
      </c>
    </row>
    <row r="1624" spans="1:6" ht="15.75">
      <c r="A1624" s="22" t="s">
        <v>1441</v>
      </c>
      <c r="B1624" s="26">
        <v>42205</v>
      </c>
      <c r="C1624" s="27">
        <v>0</v>
      </c>
      <c r="D1624" s="25" t="str">
        <f t="shared" si="50"/>
        <v>201530</v>
      </c>
      <c r="E1624" s="22" t="str">
        <f t="shared" ca="1" si="51"/>
        <v>201507</v>
      </c>
      <c r="F1624" s="22">
        <v>2015</v>
      </c>
    </row>
    <row r="1625" spans="1:6" ht="15.75">
      <c r="A1625" s="22" t="s">
        <v>1441</v>
      </c>
      <c r="B1625" s="26">
        <v>42206</v>
      </c>
      <c r="C1625" s="27">
        <v>0</v>
      </c>
      <c r="D1625" s="25" t="str">
        <f t="shared" si="50"/>
        <v>201530</v>
      </c>
      <c r="E1625" s="22" t="str">
        <f t="shared" ca="1" si="51"/>
        <v>201507</v>
      </c>
      <c r="F1625" s="22">
        <v>2015</v>
      </c>
    </row>
    <row r="1626" spans="1:6" ht="15.75">
      <c r="A1626" s="22" t="s">
        <v>1441</v>
      </c>
      <c r="B1626" s="26">
        <v>42207</v>
      </c>
      <c r="C1626" s="27">
        <v>0</v>
      </c>
      <c r="D1626" s="25" t="str">
        <f t="shared" si="50"/>
        <v>201530</v>
      </c>
      <c r="E1626" s="22" t="str">
        <f t="shared" ca="1" si="51"/>
        <v>201507</v>
      </c>
      <c r="F1626" s="22">
        <v>2015</v>
      </c>
    </row>
    <row r="1627" spans="1:6" ht="15.75">
      <c r="A1627" s="22" t="s">
        <v>1441</v>
      </c>
      <c r="B1627" s="26">
        <v>42208</v>
      </c>
      <c r="C1627" s="27">
        <v>0</v>
      </c>
      <c r="D1627" s="25" t="str">
        <f t="shared" si="50"/>
        <v>201530</v>
      </c>
      <c r="E1627" s="22" t="str">
        <f t="shared" ca="1" si="51"/>
        <v>201507</v>
      </c>
      <c r="F1627" s="22">
        <v>2015</v>
      </c>
    </row>
    <row r="1628" spans="1:6" ht="15.75">
      <c r="A1628" s="22" t="s">
        <v>1441</v>
      </c>
      <c r="B1628" s="26">
        <v>42209</v>
      </c>
      <c r="C1628" s="27">
        <v>0</v>
      </c>
      <c r="D1628" s="25" t="str">
        <f t="shared" si="50"/>
        <v>201530</v>
      </c>
      <c r="E1628" s="22" t="str">
        <f t="shared" ca="1" si="51"/>
        <v>201507</v>
      </c>
      <c r="F1628" s="22">
        <v>2015</v>
      </c>
    </row>
    <row r="1629" spans="1:6" ht="15.75">
      <c r="A1629" s="22" t="s">
        <v>1441</v>
      </c>
      <c r="B1629" s="26">
        <v>42210</v>
      </c>
      <c r="C1629" s="27">
        <v>0</v>
      </c>
      <c r="D1629" s="25" t="str">
        <f t="shared" si="50"/>
        <v>201530</v>
      </c>
      <c r="E1629" s="22" t="str">
        <f t="shared" ca="1" si="51"/>
        <v>201507</v>
      </c>
      <c r="F1629" s="22">
        <v>2015</v>
      </c>
    </row>
    <row r="1630" spans="1:6" ht="15.75">
      <c r="A1630" s="22" t="s">
        <v>1441</v>
      </c>
      <c r="B1630" s="26">
        <v>42211</v>
      </c>
      <c r="C1630" s="27">
        <v>0</v>
      </c>
      <c r="D1630" s="25" t="str">
        <f t="shared" si="50"/>
        <v>201530</v>
      </c>
      <c r="E1630" s="22" t="str">
        <f t="shared" ca="1" si="51"/>
        <v>201507</v>
      </c>
      <c r="F1630" s="22">
        <v>2015</v>
      </c>
    </row>
    <row r="1631" spans="1:6" ht="15.75">
      <c r="A1631" s="22" t="s">
        <v>1441</v>
      </c>
      <c r="B1631" s="26">
        <v>42212</v>
      </c>
      <c r="C1631" s="27">
        <v>0</v>
      </c>
      <c r="D1631" s="25" t="str">
        <f t="shared" si="50"/>
        <v>201531</v>
      </c>
      <c r="E1631" s="22" t="str">
        <f t="shared" ca="1" si="51"/>
        <v>201507</v>
      </c>
      <c r="F1631" s="22">
        <v>2015</v>
      </c>
    </row>
    <row r="1632" spans="1:6" ht="15.75">
      <c r="A1632" s="22" t="s">
        <v>1441</v>
      </c>
      <c r="B1632" s="26">
        <v>42213</v>
      </c>
      <c r="C1632" s="27">
        <v>0</v>
      </c>
      <c r="D1632" s="25" t="str">
        <f t="shared" si="50"/>
        <v>201531</v>
      </c>
      <c r="E1632" s="22" t="str">
        <f t="shared" ca="1" si="51"/>
        <v>201507</v>
      </c>
      <c r="F1632" s="22">
        <v>2015</v>
      </c>
    </row>
    <row r="1633" spans="1:6" ht="15.75">
      <c r="A1633" s="22" t="s">
        <v>1441</v>
      </c>
      <c r="B1633" s="26">
        <v>42214</v>
      </c>
      <c r="C1633" s="27">
        <v>0</v>
      </c>
      <c r="D1633" s="25" t="str">
        <f t="shared" si="50"/>
        <v>201531</v>
      </c>
      <c r="E1633" s="22" t="str">
        <f t="shared" ca="1" si="51"/>
        <v>201507</v>
      </c>
      <c r="F1633" s="22">
        <v>2015</v>
      </c>
    </row>
    <row r="1634" spans="1:6" ht="15.75">
      <c r="A1634" s="22" t="s">
        <v>1441</v>
      </c>
      <c r="B1634" s="26">
        <v>42215</v>
      </c>
      <c r="C1634" s="27">
        <v>0</v>
      </c>
      <c r="D1634" s="25" t="str">
        <f t="shared" si="50"/>
        <v>201531</v>
      </c>
      <c r="E1634" s="22" t="str">
        <f t="shared" ca="1" si="51"/>
        <v>201507</v>
      </c>
      <c r="F1634" s="22">
        <v>2015</v>
      </c>
    </row>
    <row r="1635" spans="1:6" ht="15.75">
      <c r="A1635" s="22" t="s">
        <v>1441</v>
      </c>
      <c r="B1635" s="26">
        <v>42216</v>
      </c>
      <c r="C1635" s="27">
        <v>0</v>
      </c>
      <c r="D1635" s="25" t="str">
        <f t="shared" si="50"/>
        <v>201531</v>
      </c>
      <c r="E1635" s="22" t="str">
        <f t="shared" ca="1" si="51"/>
        <v>201507</v>
      </c>
      <c r="F1635" s="22">
        <v>2015</v>
      </c>
    </row>
    <row r="1636" spans="1:6" ht="15.75">
      <c r="A1636" s="22" t="s">
        <v>1441</v>
      </c>
      <c r="B1636" s="26">
        <v>42217</v>
      </c>
      <c r="C1636" s="27">
        <v>0</v>
      </c>
      <c r="D1636" s="25" t="str">
        <f t="shared" si="50"/>
        <v>201531</v>
      </c>
      <c r="E1636" s="22" t="str">
        <f t="shared" ca="1" si="51"/>
        <v>201508</v>
      </c>
      <c r="F1636" s="22">
        <v>2015</v>
      </c>
    </row>
    <row r="1637" spans="1:6" ht="15.75">
      <c r="A1637" s="22" t="s">
        <v>1441</v>
      </c>
      <c r="B1637" s="26">
        <v>42218</v>
      </c>
      <c r="C1637" s="27">
        <v>0</v>
      </c>
      <c r="D1637" s="25" t="str">
        <f t="shared" si="50"/>
        <v>201531</v>
      </c>
      <c r="E1637" s="22" t="str">
        <f t="shared" ca="1" si="51"/>
        <v>201508</v>
      </c>
      <c r="F1637" s="22">
        <v>2015</v>
      </c>
    </row>
    <row r="1638" spans="1:6" ht="15.75">
      <c r="A1638" s="22" t="s">
        <v>1441</v>
      </c>
      <c r="B1638" s="26">
        <v>42219</v>
      </c>
      <c r="C1638" s="27">
        <v>0</v>
      </c>
      <c r="D1638" s="25" t="str">
        <f t="shared" si="50"/>
        <v>201532</v>
      </c>
      <c r="E1638" s="22" t="str">
        <f t="shared" ca="1" si="51"/>
        <v>201508</v>
      </c>
      <c r="F1638" s="22">
        <v>2015</v>
      </c>
    </row>
    <row r="1639" spans="1:6" ht="15.75">
      <c r="A1639" s="22" t="s">
        <v>1441</v>
      </c>
      <c r="B1639" s="26">
        <v>42220</v>
      </c>
      <c r="C1639" s="27">
        <v>0</v>
      </c>
      <c r="D1639" s="25" t="str">
        <f t="shared" si="50"/>
        <v>201532</v>
      </c>
      <c r="E1639" s="22" t="str">
        <f t="shared" ca="1" si="51"/>
        <v>201508</v>
      </c>
      <c r="F1639" s="22">
        <v>2015</v>
      </c>
    </row>
    <row r="1640" spans="1:6" ht="15.75">
      <c r="A1640" s="22" t="s">
        <v>1441</v>
      </c>
      <c r="B1640" s="26">
        <v>42221</v>
      </c>
      <c r="C1640" s="27">
        <v>0</v>
      </c>
      <c r="D1640" s="25" t="str">
        <f t="shared" si="50"/>
        <v>201532</v>
      </c>
      <c r="E1640" s="22" t="str">
        <f t="shared" ca="1" si="51"/>
        <v>201508</v>
      </c>
      <c r="F1640" s="22">
        <v>2015</v>
      </c>
    </row>
    <row r="1641" spans="1:6" ht="15.75">
      <c r="A1641" s="22" t="s">
        <v>1441</v>
      </c>
      <c r="B1641" s="26">
        <v>42222</v>
      </c>
      <c r="C1641" s="27">
        <v>0</v>
      </c>
      <c r="D1641" s="25" t="str">
        <f t="shared" si="50"/>
        <v>201532</v>
      </c>
      <c r="E1641" s="22" t="str">
        <f t="shared" ca="1" si="51"/>
        <v>201508</v>
      </c>
      <c r="F1641" s="22">
        <v>2015</v>
      </c>
    </row>
    <row r="1642" spans="1:6" ht="15.75">
      <c r="A1642" s="22" t="s">
        <v>1441</v>
      </c>
      <c r="B1642" s="26">
        <v>42223</v>
      </c>
      <c r="C1642" s="27">
        <v>0</v>
      </c>
      <c r="D1642" s="25" t="str">
        <f t="shared" si="50"/>
        <v>201532</v>
      </c>
      <c r="E1642" s="22" t="str">
        <f t="shared" ca="1" si="51"/>
        <v>201508</v>
      </c>
      <c r="F1642" s="22">
        <v>2015</v>
      </c>
    </row>
    <row r="1643" spans="1:6" ht="15.75">
      <c r="A1643" s="22" t="s">
        <v>1441</v>
      </c>
      <c r="B1643" s="26">
        <v>42224</v>
      </c>
      <c r="C1643" s="27">
        <v>0</v>
      </c>
      <c r="D1643" s="25" t="str">
        <f t="shared" si="50"/>
        <v>201532</v>
      </c>
      <c r="E1643" s="22" t="str">
        <f t="shared" ca="1" si="51"/>
        <v>201508</v>
      </c>
      <c r="F1643" s="22">
        <v>2015</v>
      </c>
    </row>
    <row r="1644" spans="1:6" ht="15.75">
      <c r="A1644" s="22" t="s">
        <v>1441</v>
      </c>
      <c r="B1644" s="26">
        <v>42225</v>
      </c>
      <c r="C1644" s="27">
        <v>0</v>
      </c>
      <c r="D1644" s="25" t="str">
        <f t="shared" si="50"/>
        <v>201532</v>
      </c>
      <c r="E1644" s="22" t="str">
        <f t="shared" ca="1" si="51"/>
        <v>201508</v>
      </c>
      <c r="F1644" s="22">
        <v>2015</v>
      </c>
    </row>
    <row r="1645" spans="1:6" ht="15.75">
      <c r="A1645" s="22" t="s">
        <v>1441</v>
      </c>
      <c r="B1645" s="26">
        <v>42226</v>
      </c>
      <c r="C1645" s="27">
        <v>0</v>
      </c>
      <c r="D1645" s="25" t="str">
        <f t="shared" si="50"/>
        <v>201533</v>
      </c>
      <c r="E1645" s="22" t="str">
        <f t="shared" ca="1" si="51"/>
        <v>201508</v>
      </c>
      <c r="F1645" s="22">
        <v>2015</v>
      </c>
    </row>
    <row r="1646" spans="1:6" ht="15.75">
      <c r="A1646" s="22" t="s">
        <v>1441</v>
      </c>
      <c r="B1646" s="26">
        <v>42227</v>
      </c>
      <c r="C1646" s="27">
        <v>0</v>
      </c>
      <c r="D1646" s="25" t="str">
        <f t="shared" si="50"/>
        <v>201533</v>
      </c>
      <c r="E1646" s="22" t="str">
        <f t="shared" ca="1" si="51"/>
        <v>201508</v>
      </c>
      <c r="F1646" s="22">
        <v>2015</v>
      </c>
    </row>
    <row r="1647" spans="1:6" ht="15.75">
      <c r="A1647" s="22" t="s">
        <v>1441</v>
      </c>
      <c r="B1647" s="26">
        <v>42228</v>
      </c>
      <c r="C1647" s="27">
        <v>0</v>
      </c>
      <c r="D1647" s="25" t="str">
        <f t="shared" si="50"/>
        <v>201533</v>
      </c>
      <c r="E1647" s="22" t="str">
        <f t="shared" ca="1" si="51"/>
        <v>201508</v>
      </c>
      <c r="F1647" s="22">
        <v>2015</v>
      </c>
    </row>
    <row r="1648" spans="1:6" ht="15.75">
      <c r="A1648" s="22" t="s">
        <v>1441</v>
      </c>
      <c r="B1648" s="26">
        <v>42229</v>
      </c>
      <c r="C1648" s="27">
        <v>0</v>
      </c>
      <c r="D1648" s="25" t="str">
        <f t="shared" si="50"/>
        <v>201533</v>
      </c>
      <c r="E1648" s="22" t="str">
        <f t="shared" ca="1" si="51"/>
        <v>201508</v>
      </c>
      <c r="F1648" s="22">
        <v>2015</v>
      </c>
    </row>
    <row r="1649" spans="1:6" ht="15.75">
      <c r="A1649" s="22" t="s">
        <v>1441</v>
      </c>
      <c r="B1649" s="26">
        <v>42230</v>
      </c>
      <c r="C1649" s="27">
        <v>0</v>
      </c>
      <c r="D1649" s="25" t="str">
        <f t="shared" si="50"/>
        <v>201533</v>
      </c>
      <c r="E1649" s="22" t="str">
        <f t="shared" ca="1" si="51"/>
        <v>201508</v>
      </c>
      <c r="F1649" s="22">
        <v>2015</v>
      </c>
    </row>
    <row r="1650" spans="1:6" ht="15.75">
      <c r="A1650" s="22" t="s">
        <v>1441</v>
      </c>
      <c r="B1650" s="26">
        <v>42231</v>
      </c>
      <c r="C1650" s="27">
        <v>0</v>
      </c>
      <c r="D1650" s="25" t="str">
        <f t="shared" si="50"/>
        <v>201533</v>
      </c>
      <c r="E1650" s="22" t="str">
        <f t="shared" ca="1" si="51"/>
        <v>201508</v>
      </c>
      <c r="F1650" s="22">
        <v>2015</v>
      </c>
    </row>
    <row r="1651" spans="1:6" ht="15.75">
      <c r="A1651" s="22" t="s">
        <v>1441</v>
      </c>
      <c r="B1651" s="26">
        <v>42232</v>
      </c>
      <c r="C1651" s="27">
        <v>0</v>
      </c>
      <c r="D1651" s="25" t="str">
        <f t="shared" si="50"/>
        <v>201533</v>
      </c>
      <c r="E1651" s="22" t="str">
        <f t="shared" ca="1" si="51"/>
        <v>201508</v>
      </c>
      <c r="F1651" s="22">
        <v>2015</v>
      </c>
    </row>
    <row r="1652" spans="1:6" ht="15.75">
      <c r="A1652" s="22" t="s">
        <v>1441</v>
      </c>
      <c r="B1652" s="26">
        <v>42233</v>
      </c>
      <c r="C1652" s="27">
        <v>0</v>
      </c>
      <c r="D1652" s="25" t="str">
        <f t="shared" si="50"/>
        <v>201534</v>
      </c>
      <c r="E1652" s="22" t="str">
        <f t="shared" ca="1" si="51"/>
        <v>201508</v>
      </c>
      <c r="F1652" s="22">
        <v>2015</v>
      </c>
    </row>
    <row r="1653" spans="1:6" ht="15.75">
      <c r="A1653" s="22" t="s">
        <v>1441</v>
      </c>
      <c r="B1653" s="26">
        <v>42234</v>
      </c>
      <c r="C1653" s="27">
        <v>0</v>
      </c>
      <c r="D1653" s="25" t="str">
        <f t="shared" si="50"/>
        <v>201534</v>
      </c>
      <c r="E1653" s="22" t="str">
        <f t="shared" ca="1" si="51"/>
        <v>201508</v>
      </c>
      <c r="F1653" s="22">
        <v>2015</v>
      </c>
    </row>
    <row r="1654" spans="1:6" ht="15.75">
      <c r="A1654" s="22" t="s">
        <v>1441</v>
      </c>
      <c r="B1654" s="26">
        <v>42235</v>
      </c>
      <c r="C1654" s="27">
        <v>0</v>
      </c>
      <c r="D1654" s="25" t="str">
        <f t="shared" si="50"/>
        <v>201534</v>
      </c>
      <c r="E1654" s="22" t="str">
        <f t="shared" ca="1" si="51"/>
        <v>201508</v>
      </c>
      <c r="F1654" s="22">
        <v>2015</v>
      </c>
    </row>
    <row r="1655" spans="1:6" ht="15.75">
      <c r="A1655" s="22" t="s">
        <v>1441</v>
      </c>
      <c r="B1655" s="26">
        <v>42236</v>
      </c>
      <c r="C1655" s="27">
        <v>0</v>
      </c>
      <c r="D1655" s="25" t="str">
        <f t="shared" si="50"/>
        <v>201534</v>
      </c>
      <c r="E1655" s="22" t="str">
        <f t="shared" ca="1" si="51"/>
        <v>201508</v>
      </c>
      <c r="F1655" s="22">
        <v>2015</v>
      </c>
    </row>
    <row r="1656" spans="1:6" ht="15.75">
      <c r="A1656" s="22" t="s">
        <v>1441</v>
      </c>
      <c r="B1656" s="26">
        <v>42237</v>
      </c>
      <c r="C1656" s="27">
        <v>0</v>
      </c>
      <c r="D1656" s="25" t="str">
        <f t="shared" si="50"/>
        <v>201534</v>
      </c>
      <c r="E1656" s="22" t="str">
        <f t="shared" ca="1" si="51"/>
        <v>201508</v>
      </c>
      <c r="F1656" s="22">
        <v>2015</v>
      </c>
    </row>
    <row r="1657" spans="1:6" ht="15.75">
      <c r="A1657" s="22" t="s">
        <v>1441</v>
      </c>
      <c r="B1657" s="26">
        <v>42238</v>
      </c>
      <c r="C1657" s="27">
        <v>0</v>
      </c>
      <c r="D1657" s="25" t="str">
        <f t="shared" si="50"/>
        <v>201534</v>
      </c>
      <c r="E1657" s="22" t="str">
        <f t="shared" ca="1" si="51"/>
        <v>201508</v>
      </c>
      <c r="F1657" s="22">
        <v>2015</v>
      </c>
    </row>
    <row r="1658" spans="1:6" ht="15.75">
      <c r="A1658" s="22" t="s">
        <v>1441</v>
      </c>
      <c r="B1658" s="26">
        <v>42239</v>
      </c>
      <c r="C1658" s="27">
        <v>0</v>
      </c>
      <c r="D1658" s="25" t="str">
        <f t="shared" si="50"/>
        <v>201534</v>
      </c>
      <c r="E1658" s="22" t="str">
        <f t="shared" ca="1" si="51"/>
        <v>201508</v>
      </c>
      <c r="F1658" s="22">
        <v>2015</v>
      </c>
    </row>
    <row r="1659" spans="1:6" ht="15.75">
      <c r="A1659" s="22" t="s">
        <v>1441</v>
      </c>
      <c r="B1659" s="26">
        <v>42240</v>
      </c>
      <c r="C1659" s="27">
        <v>0</v>
      </c>
      <c r="D1659" s="25" t="str">
        <f t="shared" si="50"/>
        <v>201535</v>
      </c>
      <c r="E1659" s="22" t="str">
        <f t="shared" ca="1" si="51"/>
        <v>201508</v>
      </c>
      <c r="F1659" s="22">
        <v>2015</v>
      </c>
    </row>
    <row r="1660" spans="1:6" ht="15.75">
      <c r="A1660" s="22" t="s">
        <v>1441</v>
      </c>
      <c r="B1660" s="26">
        <v>42241</v>
      </c>
      <c r="C1660" s="27">
        <v>0</v>
      </c>
      <c r="D1660" s="25" t="str">
        <f t="shared" si="50"/>
        <v>201535</v>
      </c>
      <c r="E1660" s="22" t="str">
        <f t="shared" ca="1" si="51"/>
        <v>201508</v>
      </c>
      <c r="F1660" s="22">
        <v>2015</v>
      </c>
    </row>
    <row r="1661" spans="1:6" ht="15.75">
      <c r="A1661" s="22" t="s">
        <v>1441</v>
      </c>
      <c r="B1661" s="26">
        <v>42242</v>
      </c>
      <c r="C1661" s="27">
        <v>0</v>
      </c>
      <c r="D1661" s="25" t="str">
        <f t="shared" si="50"/>
        <v>201535</v>
      </c>
      <c r="E1661" s="22" t="str">
        <f t="shared" ca="1" si="51"/>
        <v>201508</v>
      </c>
      <c r="F1661" s="22">
        <v>2015</v>
      </c>
    </row>
    <row r="1662" spans="1:6" ht="15.75">
      <c r="A1662" s="22" t="s">
        <v>1441</v>
      </c>
      <c r="B1662" s="26">
        <v>42243</v>
      </c>
      <c r="C1662" s="27">
        <v>0</v>
      </c>
      <c r="D1662" s="25" t="str">
        <f t="shared" si="50"/>
        <v>201535</v>
      </c>
      <c r="E1662" s="22" t="str">
        <f t="shared" ca="1" si="51"/>
        <v>201508</v>
      </c>
      <c r="F1662" s="22">
        <v>2015</v>
      </c>
    </row>
    <row r="1663" spans="1:6" ht="15.75">
      <c r="A1663" s="22" t="s">
        <v>1441</v>
      </c>
      <c r="B1663" s="26">
        <v>42244</v>
      </c>
      <c r="C1663" s="27">
        <v>0</v>
      </c>
      <c r="D1663" s="25" t="str">
        <f t="shared" si="50"/>
        <v>201535</v>
      </c>
      <c r="E1663" s="22" t="str">
        <f t="shared" ca="1" si="51"/>
        <v>201508</v>
      </c>
      <c r="F1663" s="22">
        <v>2015</v>
      </c>
    </row>
    <row r="1664" spans="1:6" ht="15.75">
      <c r="A1664" s="22" t="s">
        <v>1441</v>
      </c>
      <c r="B1664" s="26">
        <v>42245</v>
      </c>
      <c r="C1664" s="27">
        <v>0</v>
      </c>
      <c r="D1664" s="25" t="str">
        <f t="shared" si="50"/>
        <v>201535</v>
      </c>
      <c r="E1664" s="22" t="str">
        <f t="shared" ca="1" si="51"/>
        <v>201508</v>
      </c>
      <c r="F1664" s="22">
        <v>2015</v>
      </c>
    </row>
    <row r="1665" spans="1:6" ht="15.75">
      <c r="A1665" s="22" t="s">
        <v>1441</v>
      </c>
      <c r="B1665" s="26">
        <v>42246</v>
      </c>
      <c r="C1665" s="27">
        <v>0</v>
      </c>
      <c r="D1665" s="25" t="str">
        <f t="shared" si="50"/>
        <v>201535</v>
      </c>
      <c r="E1665" s="22" t="str">
        <f t="shared" ca="1" si="51"/>
        <v>201508</v>
      </c>
      <c r="F1665" s="22">
        <v>2015</v>
      </c>
    </row>
    <row r="1666" spans="1:6" ht="15.75">
      <c r="A1666" s="22" t="s">
        <v>1441</v>
      </c>
      <c r="B1666" s="26">
        <v>42247</v>
      </c>
      <c r="C1666" s="27">
        <v>0</v>
      </c>
      <c r="D1666" s="25" t="str">
        <f t="shared" si="50"/>
        <v>201536</v>
      </c>
      <c r="E1666" s="22" t="str">
        <f t="shared" ca="1" si="51"/>
        <v>201508</v>
      </c>
      <c r="F1666" s="22">
        <v>2015</v>
      </c>
    </row>
    <row r="1667" spans="1:6" ht="15.75">
      <c r="A1667" s="22" t="s">
        <v>1441</v>
      </c>
      <c r="B1667" s="26">
        <v>42248</v>
      </c>
      <c r="C1667" s="27">
        <v>0</v>
      </c>
      <c r="D1667" s="25" t="str">
        <f t="shared" ref="D1667:D1730" si="52">CONCATENATE(YEAR(B1667-WEEKDAY(B1667,3)+3),TEXT(WEEKNUM(B1667,21),"00"))</f>
        <v>201536</v>
      </c>
      <c r="E1667" s="22" t="str">
        <f t="shared" ref="E1667:E1730" ca="1" si="53">IF(
  AND(
    YEAR(B1667)=YEAR(TODAY())-1,
    MONTH(B1667)=MONTH(TODAY()),
    DAY(B1667)&gt;DAY($H$2)
  ),
  0,
  CONCATENATE(YEAR(B1667),TEXT(MONTH(B1667),"00"))
)</f>
        <v>201509</v>
      </c>
      <c r="F1667" s="22">
        <v>2015</v>
      </c>
    </row>
    <row r="1668" spans="1:6" ht="15.75">
      <c r="A1668" s="22" t="s">
        <v>1441</v>
      </c>
      <c r="B1668" s="26">
        <v>42249</v>
      </c>
      <c r="C1668" s="27">
        <v>0</v>
      </c>
      <c r="D1668" s="25" t="str">
        <f t="shared" si="52"/>
        <v>201536</v>
      </c>
      <c r="E1668" s="22" t="str">
        <f t="shared" ca="1" si="53"/>
        <v>201509</v>
      </c>
      <c r="F1668" s="22">
        <v>2015</v>
      </c>
    </row>
    <row r="1669" spans="1:6" ht="15.75">
      <c r="A1669" s="22" t="s">
        <v>1441</v>
      </c>
      <c r="B1669" s="26">
        <v>42250</v>
      </c>
      <c r="C1669" s="27">
        <v>0</v>
      </c>
      <c r="D1669" s="25" t="str">
        <f t="shared" si="52"/>
        <v>201536</v>
      </c>
      <c r="E1669" s="22" t="str">
        <f t="shared" ca="1" si="53"/>
        <v>201509</v>
      </c>
      <c r="F1669" s="22">
        <v>2015</v>
      </c>
    </row>
    <row r="1670" spans="1:6" ht="15.75">
      <c r="A1670" s="22" t="s">
        <v>1441</v>
      </c>
      <c r="B1670" s="26">
        <v>42251</v>
      </c>
      <c r="C1670" s="27">
        <v>0</v>
      </c>
      <c r="D1670" s="25" t="str">
        <f t="shared" si="52"/>
        <v>201536</v>
      </c>
      <c r="E1670" s="22" t="str">
        <f t="shared" ca="1" si="53"/>
        <v>201509</v>
      </c>
      <c r="F1670" s="22">
        <v>2015</v>
      </c>
    </row>
    <row r="1671" spans="1:6" ht="15.75">
      <c r="A1671" s="22" t="s">
        <v>1441</v>
      </c>
      <c r="B1671" s="26">
        <v>42252</v>
      </c>
      <c r="C1671" s="27">
        <v>0</v>
      </c>
      <c r="D1671" s="25" t="str">
        <f t="shared" si="52"/>
        <v>201536</v>
      </c>
      <c r="E1671" s="22" t="str">
        <f t="shared" ca="1" si="53"/>
        <v>201509</v>
      </c>
      <c r="F1671" s="22">
        <v>2015</v>
      </c>
    </row>
    <row r="1672" spans="1:6" ht="15.75">
      <c r="A1672" s="22" t="s">
        <v>1441</v>
      </c>
      <c r="B1672" s="26">
        <v>42253</v>
      </c>
      <c r="C1672" s="27">
        <v>0</v>
      </c>
      <c r="D1672" s="25" t="str">
        <f t="shared" si="52"/>
        <v>201536</v>
      </c>
      <c r="E1672" s="22" t="str">
        <f t="shared" ca="1" si="53"/>
        <v>201509</v>
      </c>
      <c r="F1672" s="22">
        <v>2015</v>
      </c>
    </row>
    <row r="1673" spans="1:6" ht="15.75">
      <c r="A1673" s="22" t="s">
        <v>1441</v>
      </c>
      <c r="B1673" s="26">
        <v>42254</v>
      </c>
      <c r="C1673" s="27">
        <v>0</v>
      </c>
      <c r="D1673" s="25" t="str">
        <f t="shared" si="52"/>
        <v>201537</v>
      </c>
      <c r="E1673" s="22" t="str">
        <f t="shared" ca="1" si="53"/>
        <v>201509</v>
      </c>
      <c r="F1673" s="22">
        <v>2015</v>
      </c>
    </row>
    <row r="1674" spans="1:6" ht="15.75">
      <c r="A1674" s="22" t="s">
        <v>1441</v>
      </c>
      <c r="B1674" s="26">
        <v>42255</v>
      </c>
      <c r="C1674" s="27">
        <v>0</v>
      </c>
      <c r="D1674" s="25" t="str">
        <f t="shared" si="52"/>
        <v>201537</v>
      </c>
      <c r="E1674" s="22" t="str">
        <f t="shared" ca="1" si="53"/>
        <v>201509</v>
      </c>
      <c r="F1674" s="22">
        <v>2015</v>
      </c>
    </row>
    <row r="1675" spans="1:6" ht="15.75">
      <c r="A1675" s="22" t="s">
        <v>1441</v>
      </c>
      <c r="B1675" s="26">
        <v>42256</v>
      </c>
      <c r="C1675" s="27">
        <v>0</v>
      </c>
      <c r="D1675" s="25" t="str">
        <f t="shared" si="52"/>
        <v>201537</v>
      </c>
      <c r="E1675" s="22" t="str">
        <f t="shared" ca="1" si="53"/>
        <v>201509</v>
      </c>
      <c r="F1675" s="22">
        <v>2015</v>
      </c>
    </row>
    <row r="1676" spans="1:6" ht="15.75">
      <c r="A1676" s="22" t="s">
        <v>1441</v>
      </c>
      <c r="B1676" s="26">
        <v>42257</v>
      </c>
      <c r="C1676" s="27">
        <v>0</v>
      </c>
      <c r="D1676" s="25" t="str">
        <f t="shared" si="52"/>
        <v>201537</v>
      </c>
      <c r="E1676" s="22" t="str">
        <f t="shared" ca="1" si="53"/>
        <v>201509</v>
      </c>
      <c r="F1676" s="22">
        <v>2015</v>
      </c>
    </row>
    <row r="1677" spans="1:6" ht="15.75">
      <c r="A1677" s="22" t="s">
        <v>1441</v>
      </c>
      <c r="B1677" s="26">
        <v>42258</v>
      </c>
      <c r="C1677" s="27">
        <v>0</v>
      </c>
      <c r="D1677" s="25" t="str">
        <f t="shared" si="52"/>
        <v>201537</v>
      </c>
      <c r="E1677" s="22" t="str">
        <f t="shared" ca="1" si="53"/>
        <v>201509</v>
      </c>
      <c r="F1677" s="22">
        <v>2015</v>
      </c>
    </row>
    <row r="1678" spans="1:6" ht="15.75">
      <c r="A1678" s="22" t="s">
        <v>1441</v>
      </c>
      <c r="B1678" s="26">
        <v>42259</v>
      </c>
      <c r="C1678" s="27">
        <v>0</v>
      </c>
      <c r="D1678" s="25" t="str">
        <f t="shared" si="52"/>
        <v>201537</v>
      </c>
      <c r="E1678" s="22" t="str">
        <f t="shared" ca="1" si="53"/>
        <v>201509</v>
      </c>
      <c r="F1678" s="22">
        <v>2015</v>
      </c>
    </row>
    <row r="1679" spans="1:6" ht="15.75">
      <c r="A1679" s="22" t="s">
        <v>1441</v>
      </c>
      <c r="B1679" s="26">
        <v>42260</v>
      </c>
      <c r="C1679" s="27">
        <v>0</v>
      </c>
      <c r="D1679" s="25" t="str">
        <f t="shared" si="52"/>
        <v>201537</v>
      </c>
      <c r="E1679" s="22" t="str">
        <f t="shared" ca="1" si="53"/>
        <v>201509</v>
      </c>
      <c r="F1679" s="22">
        <v>2015</v>
      </c>
    </row>
    <row r="1680" spans="1:6" ht="15.75">
      <c r="A1680" s="22" t="s">
        <v>1441</v>
      </c>
      <c r="B1680" s="26">
        <v>42261</v>
      </c>
      <c r="C1680" s="27">
        <v>0</v>
      </c>
      <c r="D1680" s="25" t="str">
        <f t="shared" si="52"/>
        <v>201538</v>
      </c>
      <c r="E1680" s="22" t="str">
        <f t="shared" ca="1" si="53"/>
        <v>201509</v>
      </c>
      <c r="F1680" s="22">
        <v>2015</v>
      </c>
    </row>
    <row r="1681" spans="1:6" ht="15.75">
      <c r="A1681" s="22" t="s">
        <v>1441</v>
      </c>
      <c r="B1681" s="26">
        <v>42262</v>
      </c>
      <c r="C1681" s="27">
        <v>0</v>
      </c>
      <c r="D1681" s="25" t="str">
        <f t="shared" si="52"/>
        <v>201538</v>
      </c>
      <c r="E1681" s="22" t="str">
        <f t="shared" ca="1" si="53"/>
        <v>201509</v>
      </c>
      <c r="F1681" s="22">
        <v>2015</v>
      </c>
    </row>
    <row r="1682" spans="1:6" ht="15.75">
      <c r="A1682" s="22" t="s">
        <v>1441</v>
      </c>
      <c r="B1682" s="26">
        <v>42263</v>
      </c>
      <c r="C1682" s="27">
        <v>0</v>
      </c>
      <c r="D1682" s="25" t="str">
        <f t="shared" si="52"/>
        <v>201538</v>
      </c>
      <c r="E1682" s="22" t="str">
        <f t="shared" ca="1" si="53"/>
        <v>201509</v>
      </c>
      <c r="F1682" s="22">
        <v>2015</v>
      </c>
    </row>
    <row r="1683" spans="1:6" ht="15.75">
      <c r="A1683" s="22" t="s">
        <v>1441</v>
      </c>
      <c r="B1683" s="26">
        <v>42264</v>
      </c>
      <c r="C1683" s="27">
        <v>0</v>
      </c>
      <c r="D1683" s="25" t="str">
        <f t="shared" si="52"/>
        <v>201538</v>
      </c>
      <c r="E1683" s="22" t="str">
        <f t="shared" ca="1" si="53"/>
        <v>201509</v>
      </c>
      <c r="F1683" s="22">
        <v>2015</v>
      </c>
    </row>
    <row r="1684" spans="1:6" ht="15.75">
      <c r="A1684" s="22" t="s">
        <v>1441</v>
      </c>
      <c r="B1684" s="26">
        <v>42265</v>
      </c>
      <c r="C1684" s="27">
        <v>0</v>
      </c>
      <c r="D1684" s="25" t="str">
        <f t="shared" si="52"/>
        <v>201538</v>
      </c>
      <c r="E1684" s="22" t="str">
        <f t="shared" ca="1" si="53"/>
        <v>201509</v>
      </c>
      <c r="F1684" s="22">
        <v>2015</v>
      </c>
    </row>
    <row r="1685" spans="1:6" ht="15.75">
      <c r="A1685" s="22" t="s">
        <v>1441</v>
      </c>
      <c r="B1685" s="26">
        <v>42266</v>
      </c>
      <c r="C1685" s="27">
        <v>0</v>
      </c>
      <c r="D1685" s="25" t="str">
        <f t="shared" si="52"/>
        <v>201538</v>
      </c>
      <c r="E1685" s="22" t="str">
        <f t="shared" ca="1" si="53"/>
        <v>201509</v>
      </c>
      <c r="F1685" s="22">
        <v>2015</v>
      </c>
    </row>
    <row r="1686" spans="1:6" ht="15.75">
      <c r="A1686" s="22" t="s">
        <v>1441</v>
      </c>
      <c r="B1686" s="26">
        <v>42267</v>
      </c>
      <c r="C1686" s="27">
        <v>0</v>
      </c>
      <c r="D1686" s="25" t="str">
        <f t="shared" si="52"/>
        <v>201538</v>
      </c>
      <c r="E1686" s="22" t="str">
        <f t="shared" ca="1" si="53"/>
        <v>201509</v>
      </c>
      <c r="F1686" s="22">
        <v>2015</v>
      </c>
    </row>
    <row r="1687" spans="1:6" ht="15.75">
      <c r="A1687" s="22" t="s">
        <v>1441</v>
      </c>
      <c r="B1687" s="26">
        <v>42268</v>
      </c>
      <c r="C1687" s="27">
        <v>0</v>
      </c>
      <c r="D1687" s="25" t="str">
        <f t="shared" si="52"/>
        <v>201539</v>
      </c>
      <c r="E1687" s="22" t="str">
        <f t="shared" ca="1" si="53"/>
        <v>201509</v>
      </c>
      <c r="F1687" s="22">
        <v>2015</v>
      </c>
    </row>
    <row r="1688" spans="1:6" ht="15.75">
      <c r="A1688" s="22" t="s">
        <v>1441</v>
      </c>
      <c r="B1688" s="26">
        <v>42269</v>
      </c>
      <c r="C1688" s="27">
        <v>0</v>
      </c>
      <c r="D1688" s="25" t="str">
        <f t="shared" si="52"/>
        <v>201539</v>
      </c>
      <c r="E1688" s="22" t="str">
        <f t="shared" ca="1" si="53"/>
        <v>201509</v>
      </c>
      <c r="F1688" s="22">
        <v>2015</v>
      </c>
    </row>
    <row r="1689" spans="1:6" ht="15.75">
      <c r="A1689" s="22" t="s">
        <v>1441</v>
      </c>
      <c r="B1689" s="26">
        <v>42270</v>
      </c>
      <c r="C1689" s="27">
        <v>0</v>
      </c>
      <c r="D1689" s="25" t="str">
        <f t="shared" si="52"/>
        <v>201539</v>
      </c>
      <c r="E1689" s="22" t="str">
        <f t="shared" ca="1" si="53"/>
        <v>201509</v>
      </c>
      <c r="F1689" s="22">
        <v>2015</v>
      </c>
    </row>
    <row r="1690" spans="1:6" ht="15.75">
      <c r="A1690" s="22" t="s">
        <v>1441</v>
      </c>
      <c r="B1690" s="26">
        <v>42271</v>
      </c>
      <c r="C1690" s="27">
        <v>0</v>
      </c>
      <c r="D1690" s="25" t="str">
        <f t="shared" si="52"/>
        <v>201539</v>
      </c>
      <c r="E1690" s="22" t="str">
        <f t="shared" ca="1" si="53"/>
        <v>201509</v>
      </c>
      <c r="F1690" s="22">
        <v>2015</v>
      </c>
    </row>
    <row r="1691" spans="1:6" ht="15.75">
      <c r="A1691" s="22" t="s">
        <v>1441</v>
      </c>
      <c r="B1691" s="26">
        <v>42272</v>
      </c>
      <c r="C1691" s="27">
        <v>0</v>
      </c>
      <c r="D1691" s="25" t="str">
        <f t="shared" si="52"/>
        <v>201539</v>
      </c>
      <c r="E1691" s="22" t="str">
        <f t="shared" ca="1" si="53"/>
        <v>201509</v>
      </c>
      <c r="F1691" s="22">
        <v>2015</v>
      </c>
    </row>
    <row r="1692" spans="1:6" ht="15.75">
      <c r="A1692" s="22" t="s">
        <v>1441</v>
      </c>
      <c r="B1692" s="26">
        <v>42273</v>
      </c>
      <c r="C1692" s="27">
        <v>0</v>
      </c>
      <c r="D1692" s="25" t="str">
        <f t="shared" si="52"/>
        <v>201539</v>
      </c>
      <c r="E1692" s="22" t="str">
        <f t="shared" ca="1" si="53"/>
        <v>201509</v>
      </c>
      <c r="F1692" s="22">
        <v>2015</v>
      </c>
    </row>
    <row r="1693" spans="1:6" ht="15.75">
      <c r="A1693" s="22" t="s">
        <v>1441</v>
      </c>
      <c r="B1693" s="26">
        <v>42274</v>
      </c>
      <c r="C1693" s="27">
        <v>0</v>
      </c>
      <c r="D1693" s="25" t="str">
        <f t="shared" si="52"/>
        <v>201539</v>
      </c>
      <c r="E1693" s="22" t="str">
        <f t="shared" ca="1" si="53"/>
        <v>201509</v>
      </c>
      <c r="F1693" s="22">
        <v>2015</v>
      </c>
    </row>
    <row r="1694" spans="1:6" ht="15.75">
      <c r="A1694" s="22" t="s">
        <v>1441</v>
      </c>
      <c r="B1694" s="26">
        <v>42275</v>
      </c>
      <c r="C1694" s="27">
        <v>0</v>
      </c>
      <c r="D1694" s="25" t="str">
        <f t="shared" si="52"/>
        <v>201540</v>
      </c>
      <c r="E1694" s="22" t="str">
        <f t="shared" ca="1" si="53"/>
        <v>201509</v>
      </c>
      <c r="F1694" s="22">
        <v>2015</v>
      </c>
    </row>
    <row r="1695" spans="1:6" ht="15.75">
      <c r="A1695" s="22" t="s">
        <v>1441</v>
      </c>
      <c r="B1695" s="26">
        <v>42276</v>
      </c>
      <c r="C1695" s="27">
        <v>0</v>
      </c>
      <c r="D1695" s="25" t="str">
        <f t="shared" si="52"/>
        <v>201540</v>
      </c>
      <c r="E1695" s="22" t="str">
        <f t="shared" ca="1" si="53"/>
        <v>201509</v>
      </c>
      <c r="F1695" s="22">
        <v>2015</v>
      </c>
    </row>
    <row r="1696" spans="1:6" ht="15.75">
      <c r="A1696" s="22" t="s">
        <v>1441</v>
      </c>
      <c r="B1696" s="26">
        <v>42277</v>
      </c>
      <c r="C1696" s="27">
        <v>5.18</v>
      </c>
      <c r="D1696" s="25" t="str">
        <f t="shared" si="52"/>
        <v>201540</v>
      </c>
      <c r="E1696" s="22" t="str">
        <f t="shared" ca="1" si="53"/>
        <v>201509</v>
      </c>
      <c r="F1696" s="22">
        <v>2015</v>
      </c>
    </row>
    <row r="1697" spans="1:6" ht="15.75">
      <c r="A1697" s="22" t="s">
        <v>1441</v>
      </c>
      <c r="B1697" s="26">
        <v>42278</v>
      </c>
      <c r="C1697" s="27">
        <v>1.22</v>
      </c>
      <c r="D1697" s="25" t="str">
        <f t="shared" si="52"/>
        <v>201540</v>
      </c>
      <c r="E1697" s="22" t="str">
        <f t="shared" ca="1" si="53"/>
        <v>201510</v>
      </c>
      <c r="F1697" s="22">
        <v>2015</v>
      </c>
    </row>
    <row r="1698" spans="1:6" ht="15.75">
      <c r="A1698" s="22" t="s">
        <v>1441</v>
      </c>
      <c r="B1698" s="26">
        <v>42279</v>
      </c>
      <c r="C1698" s="27">
        <v>0</v>
      </c>
      <c r="D1698" s="25" t="str">
        <f t="shared" si="52"/>
        <v>201540</v>
      </c>
      <c r="E1698" s="22" t="str">
        <f t="shared" ca="1" si="53"/>
        <v>201510</v>
      </c>
      <c r="F1698" s="22">
        <v>2015</v>
      </c>
    </row>
    <row r="1699" spans="1:6" ht="15.75">
      <c r="A1699" s="22" t="s">
        <v>1441</v>
      </c>
      <c r="B1699" s="26">
        <v>42280</v>
      </c>
      <c r="C1699" s="27">
        <v>0</v>
      </c>
      <c r="D1699" s="25" t="str">
        <f t="shared" si="52"/>
        <v>201540</v>
      </c>
      <c r="E1699" s="22" t="str">
        <f t="shared" ca="1" si="53"/>
        <v>201510</v>
      </c>
      <c r="F1699" s="22">
        <v>2015</v>
      </c>
    </row>
    <row r="1700" spans="1:6" ht="15.75">
      <c r="A1700" s="22" t="s">
        <v>1441</v>
      </c>
      <c r="B1700" s="26">
        <v>42281</v>
      </c>
      <c r="C1700" s="27">
        <v>0</v>
      </c>
      <c r="D1700" s="25" t="str">
        <f t="shared" si="52"/>
        <v>201540</v>
      </c>
      <c r="E1700" s="22" t="str">
        <f t="shared" ca="1" si="53"/>
        <v>201510</v>
      </c>
      <c r="F1700" s="22">
        <v>2015</v>
      </c>
    </row>
    <row r="1701" spans="1:6" ht="15.75">
      <c r="A1701" s="22" t="s">
        <v>1441</v>
      </c>
      <c r="B1701" s="26">
        <v>42282</v>
      </c>
      <c r="C1701" s="27">
        <v>0</v>
      </c>
      <c r="D1701" s="25" t="str">
        <f t="shared" si="52"/>
        <v>201541</v>
      </c>
      <c r="E1701" s="22" t="str">
        <f t="shared" ca="1" si="53"/>
        <v>201510</v>
      </c>
      <c r="F1701" s="22">
        <v>2015</v>
      </c>
    </row>
    <row r="1702" spans="1:6" ht="15.75">
      <c r="A1702" s="22" t="s">
        <v>1441</v>
      </c>
      <c r="B1702" s="26">
        <v>42283</v>
      </c>
      <c r="C1702" s="27">
        <v>0</v>
      </c>
      <c r="D1702" s="25" t="str">
        <f t="shared" si="52"/>
        <v>201541</v>
      </c>
      <c r="E1702" s="22" t="str">
        <f t="shared" ca="1" si="53"/>
        <v>201510</v>
      </c>
      <c r="F1702" s="22">
        <v>2015</v>
      </c>
    </row>
    <row r="1703" spans="1:6" ht="15.75">
      <c r="A1703" s="22" t="s">
        <v>1441</v>
      </c>
      <c r="B1703" s="26">
        <v>42284</v>
      </c>
      <c r="C1703" s="27">
        <v>0</v>
      </c>
      <c r="D1703" s="25" t="str">
        <f t="shared" si="52"/>
        <v>201541</v>
      </c>
      <c r="E1703" s="22" t="str">
        <f t="shared" ca="1" si="53"/>
        <v>201510</v>
      </c>
      <c r="F1703" s="22">
        <v>2015</v>
      </c>
    </row>
    <row r="1704" spans="1:6" ht="15.75">
      <c r="A1704" s="22" t="s">
        <v>1441</v>
      </c>
      <c r="B1704" s="26">
        <v>42285</v>
      </c>
      <c r="C1704" s="27">
        <v>0</v>
      </c>
      <c r="D1704" s="25" t="str">
        <f t="shared" si="52"/>
        <v>201541</v>
      </c>
      <c r="E1704" s="22" t="str">
        <f t="shared" ca="1" si="53"/>
        <v>201510</v>
      </c>
      <c r="F1704" s="22">
        <v>2015</v>
      </c>
    </row>
    <row r="1705" spans="1:6" ht="15.75">
      <c r="A1705" s="22" t="s">
        <v>1441</v>
      </c>
      <c r="B1705" s="26">
        <v>42286</v>
      </c>
      <c r="C1705" s="27">
        <v>0</v>
      </c>
      <c r="D1705" s="25" t="str">
        <f t="shared" si="52"/>
        <v>201541</v>
      </c>
      <c r="E1705" s="22" t="str">
        <f t="shared" ca="1" si="53"/>
        <v>201510</v>
      </c>
      <c r="F1705" s="22">
        <v>2015</v>
      </c>
    </row>
    <row r="1706" spans="1:6" ht="15.75">
      <c r="A1706" s="22" t="s">
        <v>1441</v>
      </c>
      <c r="B1706" s="26">
        <v>42287</v>
      </c>
      <c r="C1706" s="27">
        <v>0</v>
      </c>
      <c r="D1706" s="25" t="str">
        <f t="shared" si="52"/>
        <v>201541</v>
      </c>
      <c r="E1706" s="22" t="str">
        <f t="shared" ca="1" si="53"/>
        <v>201510</v>
      </c>
      <c r="F1706" s="22">
        <v>2015</v>
      </c>
    </row>
    <row r="1707" spans="1:6" ht="15.75">
      <c r="A1707" s="22" t="s">
        <v>1441</v>
      </c>
      <c r="B1707" s="26">
        <v>42288</v>
      </c>
      <c r="C1707" s="27">
        <v>0</v>
      </c>
      <c r="D1707" s="25" t="str">
        <f t="shared" si="52"/>
        <v>201541</v>
      </c>
      <c r="E1707" s="22" t="str">
        <f t="shared" ca="1" si="53"/>
        <v>201510</v>
      </c>
      <c r="F1707" s="22">
        <v>2015</v>
      </c>
    </row>
    <row r="1708" spans="1:6" ht="15.75">
      <c r="A1708" s="22" t="s">
        <v>1441</v>
      </c>
      <c r="B1708" s="26">
        <v>42289</v>
      </c>
      <c r="C1708" s="27">
        <v>0</v>
      </c>
      <c r="D1708" s="25" t="str">
        <f t="shared" si="52"/>
        <v>201542</v>
      </c>
      <c r="E1708" s="22" t="str">
        <f t="shared" ca="1" si="53"/>
        <v>201510</v>
      </c>
      <c r="F1708" s="22">
        <v>2015</v>
      </c>
    </row>
    <row r="1709" spans="1:6" ht="15.75">
      <c r="A1709" s="22" t="s">
        <v>1441</v>
      </c>
      <c r="B1709" s="26">
        <v>42290</v>
      </c>
      <c r="C1709" s="27">
        <v>0</v>
      </c>
      <c r="D1709" s="25" t="str">
        <f t="shared" si="52"/>
        <v>201542</v>
      </c>
      <c r="E1709" s="22" t="str">
        <f t="shared" ca="1" si="53"/>
        <v>201510</v>
      </c>
      <c r="F1709" s="22">
        <v>2015</v>
      </c>
    </row>
    <row r="1710" spans="1:6" ht="15.75">
      <c r="A1710" s="22" t="s">
        <v>1441</v>
      </c>
      <c r="B1710" s="26">
        <v>42291</v>
      </c>
      <c r="C1710" s="27">
        <v>0</v>
      </c>
      <c r="D1710" s="25" t="str">
        <f t="shared" si="52"/>
        <v>201542</v>
      </c>
      <c r="E1710" s="22" t="str">
        <f t="shared" ca="1" si="53"/>
        <v>201510</v>
      </c>
      <c r="F1710" s="22">
        <v>2015</v>
      </c>
    </row>
    <row r="1711" spans="1:6" ht="15.75">
      <c r="A1711" s="22" t="s">
        <v>1441</v>
      </c>
      <c r="B1711" s="26">
        <v>42292</v>
      </c>
      <c r="C1711" s="27">
        <v>0</v>
      </c>
      <c r="D1711" s="25" t="str">
        <f t="shared" si="52"/>
        <v>201542</v>
      </c>
      <c r="E1711" s="22" t="str">
        <f t="shared" ca="1" si="53"/>
        <v>201510</v>
      </c>
      <c r="F1711" s="22">
        <v>2015</v>
      </c>
    </row>
    <row r="1712" spans="1:6" ht="15.75">
      <c r="A1712" s="22" t="s">
        <v>1441</v>
      </c>
      <c r="B1712" s="26">
        <v>42293</v>
      </c>
      <c r="C1712" s="27">
        <v>0</v>
      </c>
      <c r="D1712" s="25" t="str">
        <f t="shared" si="52"/>
        <v>201542</v>
      </c>
      <c r="E1712" s="22" t="str">
        <f t="shared" ca="1" si="53"/>
        <v>201510</v>
      </c>
      <c r="F1712" s="22">
        <v>2015</v>
      </c>
    </row>
    <row r="1713" spans="1:6" ht="15.75">
      <c r="A1713" s="22" t="s">
        <v>1441</v>
      </c>
      <c r="B1713" s="26">
        <v>42294</v>
      </c>
      <c r="C1713" s="27">
        <v>0</v>
      </c>
      <c r="D1713" s="25" t="str">
        <f t="shared" si="52"/>
        <v>201542</v>
      </c>
      <c r="E1713" s="22" t="str">
        <f t="shared" ca="1" si="53"/>
        <v>201510</v>
      </c>
      <c r="F1713" s="22">
        <v>2015</v>
      </c>
    </row>
    <row r="1714" spans="1:6" ht="15.75">
      <c r="A1714" s="22" t="s">
        <v>1441</v>
      </c>
      <c r="B1714" s="26">
        <v>42295</v>
      </c>
      <c r="C1714" s="27">
        <v>0</v>
      </c>
      <c r="D1714" s="25" t="str">
        <f t="shared" si="52"/>
        <v>201542</v>
      </c>
      <c r="E1714" s="22" t="str">
        <f t="shared" ca="1" si="53"/>
        <v>201510</v>
      </c>
      <c r="F1714" s="22">
        <v>2015</v>
      </c>
    </row>
    <row r="1715" spans="1:6" ht="15.75">
      <c r="A1715" s="22" t="s">
        <v>1441</v>
      </c>
      <c r="B1715" s="26">
        <v>42296</v>
      </c>
      <c r="C1715" s="27">
        <v>0</v>
      </c>
      <c r="D1715" s="25" t="str">
        <f t="shared" si="52"/>
        <v>201543</v>
      </c>
      <c r="E1715" s="22" t="str">
        <f t="shared" ca="1" si="53"/>
        <v>201510</v>
      </c>
      <c r="F1715" s="22">
        <v>2015</v>
      </c>
    </row>
    <row r="1716" spans="1:6" ht="15.75">
      <c r="A1716" s="22" t="s">
        <v>1441</v>
      </c>
      <c r="B1716" s="26">
        <v>42297</v>
      </c>
      <c r="C1716" s="27">
        <v>0</v>
      </c>
      <c r="D1716" s="25" t="str">
        <f t="shared" si="52"/>
        <v>201543</v>
      </c>
      <c r="E1716" s="22" t="str">
        <f t="shared" ca="1" si="53"/>
        <v>201510</v>
      </c>
      <c r="F1716" s="22">
        <v>2015</v>
      </c>
    </row>
    <row r="1717" spans="1:6" ht="15.75">
      <c r="A1717" s="22" t="s">
        <v>1441</v>
      </c>
      <c r="B1717" s="26">
        <v>42298</v>
      </c>
      <c r="C1717" s="27">
        <v>0</v>
      </c>
      <c r="D1717" s="25" t="str">
        <f t="shared" si="52"/>
        <v>201543</v>
      </c>
      <c r="E1717" s="22" t="str">
        <f t="shared" ca="1" si="53"/>
        <v>201510</v>
      </c>
      <c r="F1717" s="22">
        <v>2015</v>
      </c>
    </row>
    <row r="1718" spans="1:6" ht="15.75">
      <c r="A1718" s="22" t="s">
        <v>1441</v>
      </c>
      <c r="B1718" s="26">
        <v>42299</v>
      </c>
      <c r="C1718" s="27">
        <v>0</v>
      </c>
      <c r="D1718" s="25" t="str">
        <f t="shared" si="52"/>
        <v>201543</v>
      </c>
      <c r="E1718" s="22" t="str">
        <f t="shared" ca="1" si="53"/>
        <v>201510</v>
      </c>
      <c r="F1718" s="22">
        <v>2015</v>
      </c>
    </row>
    <row r="1719" spans="1:6" ht="15.75">
      <c r="A1719" s="22" t="s">
        <v>1441</v>
      </c>
      <c r="B1719" s="26">
        <v>42300</v>
      </c>
      <c r="C1719" s="27">
        <v>0</v>
      </c>
      <c r="D1719" s="25" t="str">
        <f t="shared" si="52"/>
        <v>201543</v>
      </c>
      <c r="E1719" s="22" t="str">
        <f t="shared" ca="1" si="53"/>
        <v>201510</v>
      </c>
      <c r="F1719" s="22">
        <v>2015</v>
      </c>
    </row>
    <row r="1720" spans="1:6" ht="15.75">
      <c r="A1720" s="22" t="s">
        <v>1441</v>
      </c>
      <c r="B1720" s="26">
        <v>42301</v>
      </c>
      <c r="C1720" s="27">
        <v>0</v>
      </c>
      <c r="D1720" s="25" t="str">
        <f t="shared" si="52"/>
        <v>201543</v>
      </c>
      <c r="E1720" s="22" t="str">
        <f t="shared" ca="1" si="53"/>
        <v>201510</v>
      </c>
      <c r="F1720" s="22">
        <v>2015</v>
      </c>
    </row>
    <row r="1721" spans="1:6" ht="15.75">
      <c r="A1721" s="22" t="s">
        <v>1441</v>
      </c>
      <c r="B1721" s="26">
        <v>42302</v>
      </c>
      <c r="C1721" s="27">
        <v>0</v>
      </c>
      <c r="D1721" s="25" t="str">
        <f t="shared" si="52"/>
        <v>201543</v>
      </c>
      <c r="E1721" s="22" t="str">
        <f t="shared" ca="1" si="53"/>
        <v>201510</v>
      </c>
      <c r="F1721" s="22">
        <v>2015</v>
      </c>
    </row>
    <row r="1722" spans="1:6" ht="15.75">
      <c r="A1722" s="22" t="s">
        <v>1441</v>
      </c>
      <c r="B1722" s="26">
        <v>42303</v>
      </c>
      <c r="C1722" s="27">
        <v>0</v>
      </c>
      <c r="D1722" s="25" t="str">
        <f t="shared" si="52"/>
        <v>201544</v>
      </c>
      <c r="E1722" s="22" t="str">
        <f t="shared" ca="1" si="53"/>
        <v>201510</v>
      </c>
      <c r="F1722" s="22">
        <v>2015</v>
      </c>
    </row>
    <row r="1723" spans="1:6" ht="15.75">
      <c r="A1723" s="22" t="s">
        <v>1441</v>
      </c>
      <c r="B1723" s="26">
        <v>42304</v>
      </c>
      <c r="C1723" s="27">
        <v>0</v>
      </c>
      <c r="D1723" s="25" t="str">
        <f t="shared" si="52"/>
        <v>201544</v>
      </c>
      <c r="E1723" s="22" t="str">
        <f t="shared" ca="1" si="53"/>
        <v>201510</v>
      </c>
      <c r="F1723" s="22">
        <v>2015</v>
      </c>
    </row>
    <row r="1724" spans="1:6" ht="15.75">
      <c r="A1724" s="22" t="s">
        <v>1441</v>
      </c>
      <c r="B1724" s="26">
        <v>42305</v>
      </c>
      <c r="C1724" s="27">
        <v>0</v>
      </c>
      <c r="D1724" s="25" t="str">
        <f t="shared" si="52"/>
        <v>201544</v>
      </c>
      <c r="E1724" s="22" t="str">
        <f t="shared" ca="1" si="53"/>
        <v>201510</v>
      </c>
      <c r="F1724" s="22">
        <v>2015</v>
      </c>
    </row>
    <row r="1725" spans="1:6" ht="15.75">
      <c r="A1725" s="22" t="s">
        <v>1441</v>
      </c>
      <c r="B1725" s="26">
        <v>42306</v>
      </c>
      <c r="C1725" s="27">
        <v>0</v>
      </c>
      <c r="D1725" s="25" t="str">
        <f t="shared" si="52"/>
        <v>201544</v>
      </c>
      <c r="E1725" s="22" t="str">
        <f t="shared" ca="1" si="53"/>
        <v>201510</v>
      </c>
      <c r="F1725" s="22">
        <v>2015</v>
      </c>
    </row>
    <row r="1726" spans="1:6" ht="15.75">
      <c r="A1726" s="22" t="s">
        <v>1441</v>
      </c>
      <c r="B1726" s="26">
        <v>42307</v>
      </c>
      <c r="C1726" s="27">
        <v>0</v>
      </c>
      <c r="D1726" s="25" t="str">
        <f t="shared" si="52"/>
        <v>201544</v>
      </c>
      <c r="E1726" s="22" t="str">
        <f t="shared" ca="1" si="53"/>
        <v>201510</v>
      </c>
      <c r="F1726" s="22">
        <v>2015</v>
      </c>
    </row>
    <row r="1727" spans="1:6" ht="15.75">
      <c r="A1727" s="22" t="s">
        <v>1441</v>
      </c>
      <c r="B1727" s="26">
        <v>42308</v>
      </c>
      <c r="C1727" s="27">
        <v>0</v>
      </c>
      <c r="D1727" s="25" t="str">
        <f t="shared" si="52"/>
        <v>201544</v>
      </c>
      <c r="E1727" s="22" t="str">
        <f t="shared" ca="1" si="53"/>
        <v>201510</v>
      </c>
      <c r="F1727" s="22">
        <v>2015</v>
      </c>
    </row>
    <row r="1728" spans="1:6" ht="15.75">
      <c r="A1728" s="22" t="s">
        <v>1441</v>
      </c>
      <c r="B1728" s="26">
        <v>42309</v>
      </c>
      <c r="C1728" s="27">
        <v>0</v>
      </c>
      <c r="D1728" s="25" t="str">
        <f t="shared" si="52"/>
        <v>201544</v>
      </c>
      <c r="E1728" s="22" t="str">
        <f t="shared" ca="1" si="53"/>
        <v>201511</v>
      </c>
      <c r="F1728" s="22">
        <v>2016</v>
      </c>
    </row>
    <row r="1729" spans="1:6" ht="15.75">
      <c r="A1729" s="22" t="s">
        <v>1441</v>
      </c>
      <c r="B1729" s="26">
        <v>42310</v>
      </c>
      <c r="C1729" s="27">
        <v>0</v>
      </c>
      <c r="D1729" s="25" t="str">
        <f t="shared" si="52"/>
        <v>201545</v>
      </c>
      <c r="E1729" s="22" t="str">
        <f t="shared" ca="1" si="53"/>
        <v>201511</v>
      </c>
      <c r="F1729" s="22">
        <v>2016</v>
      </c>
    </row>
    <row r="1730" spans="1:6" ht="15.75">
      <c r="A1730" s="22" t="s">
        <v>1441</v>
      </c>
      <c r="B1730" s="26">
        <v>42311</v>
      </c>
      <c r="C1730" s="27">
        <v>0</v>
      </c>
      <c r="D1730" s="25" t="str">
        <f t="shared" si="52"/>
        <v>201545</v>
      </c>
      <c r="E1730" s="22" t="str">
        <f t="shared" ca="1" si="53"/>
        <v>201511</v>
      </c>
      <c r="F1730" s="22">
        <v>2016</v>
      </c>
    </row>
    <row r="1731" spans="1:6" ht="15.75">
      <c r="A1731" s="22" t="s">
        <v>1441</v>
      </c>
      <c r="B1731" s="26">
        <v>42312</v>
      </c>
      <c r="C1731" s="27">
        <v>0</v>
      </c>
      <c r="D1731" s="25" t="str">
        <f t="shared" ref="D1731:D1794" si="54">CONCATENATE(YEAR(B1731-WEEKDAY(B1731,3)+3),TEXT(WEEKNUM(B1731,21),"00"))</f>
        <v>201545</v>
      </c>
      <c r="E1731" s="22" t="str">
        <f t="shared" ref="E1731:E1794" ca="1" si="55">IF(
  AND(
    YEAR(B1731)=YEAR(TODAY())-1,
    MONTH(B1731)=MONTH(TODAY()),
    DAY(B1731)&gt;DAY($H$2)
  ),
  0,
  CONCATENATE(YEAR(B1731),TEXT(MONTH(B1731),"00"))
)</f>
        <v>201511</v>
      </c>
      <c r="F1731" s="22">
        <v>2016</v>
      </c>
    </row>
    <row r="1732" spans="1:6" ht="15.75">
      <c r="A1732" s="22" t="s">
        <v>1441</v>
      </c>
      <c r="B1732" s="26">
        <v>42313</v>
      </c>
      <c r="C1732" s="27">
        <v>0</v>
      </c>
      <c r="D1732" s="25" t="str">
        <f t="shared" si="54"/>
        <v>201545</v>
      </c>
      <c r="E1732" s="22" t="str">
        <f t="shared" ca="1" si="55"/>
        <v>201511</v>
      </c>
      <c r="F1732" s="22">
        <v>2016</v>
      </c>
    </row>
    <row r="1733" spans="1:6" ht="15.75">
      <c r="A1733" s="22" t="s">
        <v>1441</v>
      </c>
      <c r="B1733" s="26">
        <v>42314</v>
      </c>
      <c r="C1733" s="27">
        <v>0</v>
      </c>
      <c r="D1733" s="25" t="str">
        <f t="shared" si="54"/>
        <v>201545</v>
      </c>
      <c r="E1733" s="22" t="str">
        <f t="shared" ca="1" si="55"/>
        <v>201511</v>
      </c>
      <c r="F1733" s="22">
        <v>2016</v>
      </c>
    </row>
    <row r="1734" spans="1:6" ht="15.75">
      <c r="A1734" s="22" t="s">
        <v>1441</v>
      </c>
      <c r="B1734" s="26">
        <v>42315</v>
      </c>
      <c r="C1734" s="27">
        <v>0</v>
      </c>
      <c r="D1734" s="25" t="str">
        <f t="shared" si="54"/>
        <v>201545</v>
      </c>
      <c r="E1734" s="22" t="str">
        <f t="shared" ca="1" si="55"/>
        <v>201511</v>
      </c>
      <c r="F1734" s="22">
        <v>2016</v>
      </c>
    </row>
    <row r="1735" spans="1:6" ht="15.75">
      <c r="A1735" s="22" t="s">
        <v>1441</v>
      </c>
      <c r="B1735" s="26">
        <v>42316</v>
      </c>
      <c r="C1735" s="27">
        <v>0</v>
      </c>
      <c r="D1735" s="25" t="str">
        <f t="shared" si="54"/>
        <v>201545</v>
      </c>
      <c r="E1735" s="22" t="str">
        <f t="shared" ca="1" si="55"/>
        <v>201511</v>
      </c>
      <c r="F1735" s="22">
        <v>2016</v>
      </c>
    </row>
    <row r="1736" spans="1:6" ht="15.75">
      <c r="A1736" s="22" t="s">
        <v>1441</v>
      </c>
      <c r="B1736" s="26">
        <v>42317</v>
      </c>
      <c r="C1736" s="27">
        <v>0</v>
      </c>
      <c r="D1736" s="25" t="str">
        <f t="shared" si="54"/>
        <v>201546</v>
      </c>
      <c r="E1736" s="22" t="str">
        <f t="shared" ca="1" si="55"/>
        <v>201511</v>
      </c>
      <c r="F1736" s="22">
        <v>2016</v>
      </c>
    </row>
    <row r="1737" spans="1:6" ht="15.75">
      <c r="A1737" s="22" t="s">
        <v>1441</v>
      </c>
      <c r="B1737" s="26">
        <v>42318</v>
      </c>
      <c r="C1737" s="27">
        <v>0</v>
      </c>
      <c r="D1737" s="25" t="str">
        <f t="shared" si="54"/>
        <v>201546</v>
      </c>
      <c r="E1737" s="22" t="str">
        <f t="shared" ca="1" si="55"/>
        <v>201511</v>
      </c>
      <c r="F1737" s="22">
        <v>2016</v>
      </c>
    </row>
    <row r="1738" spans="1:6" ht="15.75">
      <c r="A1738" s="22" t="s">
        <v>1441</v>
      </c>
      <c r="B1738" s="26">
        <v>42319</v>
      </c>
      <c r="C1738" s="27">
        <v>11.78</v>
      </c>
      <c r="D1738" s="25" t="str">
        <f t="shared" si="54"/>
        <v>201546</v>
      </c>
      <c r="E1738" s="22" t="str">
        <f t="shared" ca="1" si="55"/>
        <v>201511</v>
      </c>
      <c r="F1738" s="22">
        <v>2016</v>
      </c>
    </row>
    <row r="1739" spans="1:6" ht="15.75">
      <c r="A1739" s="22" t="s">
        <v>1441</v>
      </c>
      <c r="B1739" s="26">
        <v>42320</v>
      </c>
      <c r="C1739" s="27">
        <v>16.54</v>
      </c>
      <c r="D1739" s="25" t="str">
        <f t="shared" si="54"/>
        <v>201546</v>
      </c>
      <c r="E1739" s="22" t="str">
        <f t="shared" ca="1" si="55"/>
        <v>201511</v>
      </c>
      <c r="F1739" s="22">
        <v>2016</v>
      </c>
    </row>
    <row r="1740" spans="1:6" ht="15.75">
      <c r="A1740" s="22" t="s">
        <v>1441</v>
      </c>
      <c r="B1740" s="26">
        <v>42321</v>
      </c>
      <c r="C1740" s="27">
        <v>16.420000000000002</v>
      </c>
      <c r="D1740" s="25" t="str">
        <f t="shared" si="54"/>
        <v>201546</v>
      </c>
      <c r="E1740" s="22" t="str">
        <f t="shared" ca="1" si="55"/>
        <v>201511</v>
      </c>
      <c r="F1740" s="22">
        <v>2016</v>
      </c>
    </row>
    <row r="1741" spans="1:6" ht="15.75">
      <c r="A1741" s="22" t="s">
        <v>1441</v>
      </c>
      <c r="B1741" s="26">
        <v>42322</v>
      </c>
      <c r="C1741" s="27">
        <v>16.09</v>
      </c>
      <c r="D1741" s="25" t="str">
        <f t="shared" si="54"/>
        <v>201546</v>
      </c>
      <c r="E1741" s="22" t="str">
        <f t="shared" ca="1" si="55"/>
        <v>201511</v>
      </c>
      <c r="F1741" s="22">
        <v>2016</v>
      </c>
    </row>
    <row r="1742" spans="1:6" ht="15.75">
      <c r="A1742" s="22" t="s">
        <v>1441</v>
      </c>
      <c r="B1742" s="26">
        <v>42323</v>
      </c>
      <c r="C1742" s="27">
        <v>16.850000000000001</v>
      </c>
      <c r="D1742" s="25" t="str">
        <f t="shared" si="54"/>
        <v>201546</v>
      </c>
      <c r="E1742" s="22" t="str">
        <f t="shared" ca="1" si="55"/>
        <v>201511</v>
      </c>
      <c r="F1742" s="22">
        <v>2016</v>
      </c>
    </row>
    <row r="1743" spans="1:6" ht="15.75">
      <c r="A1743" s="22" t="s">
        <v>1441</v>
      </c>
      <c r="B1743" s="26">
        <v>42324</v>
      </c>
      <c r="C1743" s="27">
        <v>10.01</v>
      </c>
      <c r="D1743" s="25" t="str">
        <f t="shared" si="54"/>
        <v>201547</v>
      </c>
      <c r="E1743" s="22" t="str">
        <f t="shared" ca="1" si="55"/>
        <v>201511</v>
      </c>
      <c r="F1743" s="22">
        <v>2016</v>
      </c>
    </row>
    <row r="1744" spans="1:6" ht="15.75">
      <c r="A1744" s="22" t="s">
        <v>1441</v>
      </c>
      <c r="B1744" s="26">
        <v>42325</v>
      </c>
      <c r="C1744" s="27">
        <v>16.09</v>
      </c>
      <c r="D1744" s="25" t="str">
        <f t="shared" si="54"/>
        <v>201547</v>
      </c>
      <c r="E1744" s="22" t="str">
        <f t="shared" ca="1" si="55"/>
        <v>201511</v>
      </c>
      <c r="F1744" s="22">
        <v>2016</v>
      </c>
    </row>
    <row r="1745" spans="1:6" ht="15.75">
      <c r="A1745" s="22" t="s">
        <v>1441</v>
      </c>
      <c r="B1745" s="26">
        <v>42326</v>
      </c>
      <c r="C1745" s="27">
        <v>9.64</v>
      </c>
      <c r="D1745" s="25" t="str">
        <f t="shared" si="54"/>
        <v>201547</v>
      </c>
      <c r="E1745" s="22" t="str">
        <f t="shared" ca="1" si="55"/>
        <v>201511</v>
      </c>
      <c r="F1745" s="22">
        <v>2016</v>
      </c>
    </row>
    <row r="1746" spans="1:6" ht="15.75">
      <c r="A1746" s="22" t="s">
        <v>1441</v>
      </c>
      <c r="B1746" s="26">
        <v>42327</v>
      </c>
      <c r="C1746" s="27">
        <v>11.24</v>
      </c>
      <c r="D1746" s="25" t="str">
        <f t="shared" si="54"/>
        <v>201547</v>
      </c>
      <c r="E1746" s="22" t="str">
        <f t="shared" ca="1" si="55"/>
        <v>201511</v>
      </c>
      <c r="F1746" s="22">
        <v>2016</v>
      </c>
    </row>
    <row r="1747" spans="1:6" ht="15.75">
      <c r="A1747" s="22" t="s">
        <v>1441</v>
      </c>
      <c r="B1747" s="26">
        <v>42328</v>
      </c>
      <c r="C1747" s="27">
        <v>0</v>
      </c>
      <c r="D1747" s="25" t="str">
        <f t="shared" si="54"/>
        <v>201547</v>
      </c>
      <c r="E1747" s="22" t="str">
        <f t="shared" ca="1" si="55"/>
        <v>201511</v>
      </c>
      <c r="F1747" s="22">
        <v>2016</v>
      </c>
    </row>
    <row r="1748" spans="1:6" ht="15.75">
      <c r="A1748" s="22" t="s">
        <v>1441</v>
      </c>
      <c r="B1748" s="26">
        <v>42329</v>
      </c>
      <c r="C1748" s="27">
        <v>0</v>
      </c>
      <c r="D1748" s="25" t="str">
        <f t="shared" si="54"/>
        <v>201547</v>
      </c>
      <c r="E1748" s="22" t="str">
        <f t="shared" ca="1" si="55"/>
        <v>201511</v>
      </c>
      <c r="F1748" s="22">
        <v>2016</v>
      </c>
    </row>
    <row r="1749" spans="1:6" ht="15.75">
      <c r="A1749" s="22" t="s">
        <v>1441</v>
      </c>
      <c r="B1749" s="26">
        <v>42330</v>
      </c>
      <c r="C1749" s="27">
        <v>0</v>
      </c>
      <c r="D1749" s="25" t="str">
        <f t="shared" si="54"/>
        <v>201547</v>
      </c>
      <c r="E1749" s="22" t="str">
        <f t="shared" ca="1" si="55"/>
        <v>201511</v>
      </c>
      <c r="F1749" s="22">
        <v>2016</v>
      </c>
    </row>
    <row r="1750" spans="1:6" ht="15.75">
      <c r="A1750" s="22" t="s">
        <v>1441</v>
      </c>
      <c r="B1750" s="26">
        <v>42331</v>
      </c>
      <c r="C1750" s="27">
        <v>0</v>
      </c>
      <c r="D1750" s="25" t="str">
        <f t="shared" si="54"/>
        <v>201548</v>
      </c>
      <c r="E1750" s="22" t="str">
        <f t="shared" ca="1" si="55"/>
        <v>201511</v>
      </c>
      <c r="F1750" s="22">
        <v>2016</v>
      </c>
    </row>
    <row r="1751" spans="1:6" ht="15.75">
      <c r="A1751" s="22" t="s">
        <v>1441</v>
      </c>
      <c r="B1751" s="26">
        <v>42332</v>
      </c>
      <c r="C1751" s="27">
        <v>0</v>
      </c>
      <c r="D1751" s="25" t="str">
        <f t="shared" si="54"/>
        <v>201548</v>
      </c>
      <c r="E1751" s="22" t="str">
        <f t="shared" ca="1" si="55"/>
        <v>201511</v>
      </c>
      <c r="F1751" s="22">
        <v>2016</v>
      </c>
    </row>
    <row r="1752" spans="1:6" ht="15.75">
      <c r="A1752" s="22" t="s">
        <v>1441</v>
      </c>
      <c r="B1752" s="26">
        <v>42333</v>
      </c>
      <c r="C1752" s="27">
        <v>0</v>
      </c>
      <c r="D1752" s="25" t="str">
        <f t="shared" si="54"/>
        <v>201548</v>
      </c>
      <c r="E1752" s="22" t="str">
        <f t="shared" ca="1" si="55"/>
        <v>201511</v>
      </c>
      <c r="F1752" s="22">
        <v>2016</v>
      </c>
    </row>
    <row r="1753" spans="1:6" ht="15.75">
      <c r="A1753" s="22" t="s">
        <v>1441</v>
      </c>
      <c r="B1753" s="26">
        <v>42334</v>
      </c>
      <c r="C1753" s="27">
        <v>0</v>
      </c>
      <c r="D1753" s="25" t="str">
        <f t="shared" si="54"/>
        <v>201548</v>
      </c>
      <c r="E1753" s="22" t="str">
        <f t="shared" ca="1" si="55"/>
        <v>201511</v>
      </c>
      <c r="F1753" s="22">
        <v>2016</v>
      </c>
    </row>
    <row r="1754" spans="1:6" ht="15.75">
      <c r="A1754" s="22" t="s">
        <v>1441</v>
      </c>
      <c r="B1754" s="26">
        <v>42335</v>
      </c>
      <c r="C1754" s="27">
        <v>0</v>
      </c>
      <c r="D1754" s="25" t="str">
        <f t="shared" si="54"/>
        <v>201548</v>
      </c>
      <c r="E1754" s="22" t="str">
        <f t="shared" ca="1" si="55"/>
        <v>201511</v>
      </c>
      <c r="F1754" s="22">
        <v>2016</v>
      </c>
    </row>
    <row r="1755" spans="1:6" ht="15.75">
      <c r="A1755" s="22" t="s">
        <v>1441</v>
      </c>
      <c r="B1755" s="26">
        <v>42336</v>
      </c>
      <c r="C1755" s="27">
        <v>0</v>
      </c>
      <c r="D1755" s="25" t="str">
        <f t="shared" si="54"/>
        <v>201548</v>
      </c>
      <c r="E1755" s="22" t="str">
        <f t="shared" ca="1" si="55"/>
        <v>201511</v>
      </c>
      <c r="F1755" s="22">
        <v>2016</v>
      </c>
    </row>
    <row r="1756" spans="1:6" ht="15.75">
      <c r="A1756" s="22" t="s">
        <v>1441</v>
      </c>
      <c r="B1756" s="26">
        <v>42337</v>
      </c>
      <c r="C1756" s="27">
        <v>0</v>
      </c>
      <c r="D1756" s="25" t="str">
        <f t="shared" si="54"/>
        <v>201548</v>
      </c>
      <c r="E1756" s="22" t="str">
        <f t="shared" ca="1" si="55"/>
        <v>201511</v>
      </c>
      <c r="F1756" s="22">
        <v>2016</v>
      </c>
    </row>
    <row r="1757" spans="1:6" ht="15.75">
      <c r="A1757" s="22" t="s">
        <v>1441</v>
      </c>
      <c r="B1757" s="26">
        <v>42338</v>
      </c>
      <c r="C1757" s="27">
        <v>0</v>
      </c>
      <c r="D1757" s="25" t="str">
        <f t="shared" si="54"/>
        <v>201549</v>
      </c>
      <c r="E1757" s="22" t="str">
        <f t="shared" ca="1" si="55"/>
        <v>201511</v>
      </c>
      <c r="F1757" s="22">
        <v>2016</v>
      </c>
    </row>
    <row r="1758" spans="1:6" ht="15.75">
      <c r="A1758" s="22" t="s">
        <v>1441</v>
      </c>
      <c r="B1758" s="26">
        <v>42339</v>
      </c>
      <c r="C1758" s="27">
        <v>0</v>
      </c>
      <c r="D1758" s="25" t="str">
        <f t="shared" si="54"/>
        <v>201549</v>
      </c>
      <c r="E1758" s="22" t="str">
        <f t="shared" ca="1" si="55"/>
        <v>201512</v>
      </c>
      <c r="F1758" s="22">
        <v>2016</v>
      </c>
    </row>
    <row r="1759" spans="1:6" ht="15.75">
      <c r="A1759" s="22" t="s">
        <v>1441</v>
      </c>
      <c r="B1759" s="26">
        <v>42340</v>
      </c>
      <c r="C1759" s="27">
        <v>0</v>
      </c>
      <c r="D1759" s="25" t="str">
        <f t="shared" si="54"/>
        <v>201549</v>
      </c>
      <c r="E1759" s="22" t="str">
        <f t="shared" ca="1" si="55"/>
        <v>201512</v>
      </c>
      <c r="F1759" s="22">
        <v>2016</v>
      </c>
    </row>
    <row r="1760" spans="1:6" ht="15.75">
      <c r="A1760" s="22" t="s">
        <v>1441</v>
      </c>
      <c r="B1760" s="26">
        <v>42341</v>
      </c>
      <c r="C1760" s="27">
        <v>0</v>
      </c>
      <c r="D1760" s="25" t="str">
        <f t="shared" si="54"/>
        <v>201549</v>
      </c>
      <c r="E1760" s="22" t="str">
        <f t="shared" ca="1" si="55"/>
        <v>201512</v>
      </c>
      <c r="F1760" s="22">
        <v>2016</v>
      </c>
    </row>
    <row r="1761" spans="1:6" ht="15.75">
      <c r="A1761" s="22" t="s">
        <v>1441</v>
      </c>
      <c r="B1761" s="26">
        <v>42342</v>
      </c>
      <c r="C1761" s="27">
        <v>0</v>
      </c>
      <c r="D1761" s="25" t="str">
        <f t="shared" si="54"/>
        <v>201549</v>
      </c>
      <c r="E1761" s="22" t="str">
        <f t="shared" ca="1" si="55"/>
        <v>201512</v>
      </c>
      <c r="F1761" s="22">
        <v>2016</v>
      </c>
    </row>
    <row r="1762" spans="1:6" ht="15.75">
      <c r="A1762" s="22" t="s">
        <v>1441</v>
      </c>
      <c r="B1762" s="26">
        <v>42343</v>
      </c>
      <c r="C1762" s="27">
        <v>0</v>
      </c>
      <c r="D1762" s="25" t="str">
        <f t="shared" si="54"/>
        <v>201549</v>
      </c>
      <c r="E1762" s="22" t="str">
        <f t="shared" ca="1" si="55"/>
        <v>201512</v>
      </c>
      <c r="F1762" s="22">
        <v>2016</v>
      </c>
    </row>
    <row r="1763" spans="1:6" ht="15.75">
      <c r="A1763" s="22" t="s">
        <v>1441</v>
      </c>
      <c r="B1763" s="26">
        <v>42344</v>
      </c>
      <c r="C1763" s="27">
        <v>0</v>
      </c>
      <c r="D1763" s="25" t="str">
        <f t="shared" si="54"/>
        <v>201549</v>
      </c>
      <c r="E1763" s="22" t="str">
        <f t="shared" ca="1" si="55"/>
        <v>201512</v>
      </c>
      <c r="F1763" s="22">
        <v>2016</v>
      </c>
    </row>
    <row r="1764" spans="1:6" ht="15.75">
      <c r="A1764" s="22" t="s">
        <v>1441</v>
      </c>
      <c r="B1764" s="26">
        <v>42345</v>
      </c>
      <c r="C1764" s="27">
        <v>0</v>
      </c>
      <c r="D1764" s="25" t="str">
        <f t="shared" si="54"/>
        <v>201550</v>
      </c>
      <c r="E1764" s="22" t="str">
        <f t="shared" ca="1" si="55"/>
        <v>201512</v>
      </c>
      <c r="F1764" s="22">
        <v>2016</v>
      </c>
    </row>
    <row r="1765" spans="1:6" ht="15.75">
      <c r="A1765" s="22" t="s">
        <v>1441</v>
      </c>
      <c r="B1765" s="26">
        <v>42346</v>
      </c>
      <c r="C1765" s="27">
        <v>10.32</v>
      </c>
      <c r="D1765" s="25" t="str">
        <f t="shared" si="54"/>
        <v>201550</v>
      </c>
      <c r="E1765" s="22" t="str">
        <f t="shared" ca="1" si="55"/>
        <v>201512</v>
      </c>
      <c r="F1765" s="22">
        <v>2016</v>
      </c>
    </row>
    <row r="1766" spans="1:6" ht="15.75">
      <c r="A1766" s="22" t="s">
        <v>1441</v>
      </c>
      <c r="B1766" s="26">
        <v>42347</v>
      </c>
      <c r="C1766" s="27">
        <v>29.91</v>
      </c>
      <c r="D1766" s="25" t="str">
        <f t="shared" si="54"/>
        <v>201550</v>
      </c>
      <c r="E1766" s="22" t="str">
        <f t="shared" ca="1" si="55"/>
        <v>201512</v>
      </c>
      <c r="F1766" s="22">
        <v>2016</v>
      </c>
    </row>
    <row r="1767" spans="1:6" ht="15.75">
      <c r="A1767" s="22" t="s">
        <v>1441</v>
      </c>
      <c r="B1767" s="26">
        <v>42348</v>
      </c>
      <c r="C1767" s="27">
        <v>29.99</v>
      </c>
      <c r="D1767" s="25" t="str">
        <f t="shared" si="54"/>
        <v>201550</v>
      </c>
      <c r="E1767" s="22" t="str">
        <f t="shared" ca="1" si="55"/>
        <v>201512</v>
      </c>
      <c r="F1767" s="22">
        <v>2016</v>
      </c>
    </row>
    <row r="1768" spans="1:6" ht="15.75">
      <c r="A1768" s="22" t="s">
        <v>1441</v>
      </c>
      <c r="B1768" s="26">
        <v>42349</v>
      </c>
      <c r="C1768" s="27">
        <v>30</v>
      </c>
      <c r="D1768" s="25" t="str">
        <f t="shared" si="54"/>
        <v>201550</v>
      </c>
      <c r="E1768" s="22" t="str">
        <f t="shared" ca="1" si="55"/>
        <v>201512</v>
      </c>
      <c r="F1768" s="22">
        <v>2016</v>
      </c>
    </row>
    <row r="1769" spans="1:6" ht="15.75">
      <c r="A1769" s="22" t="s">
        <v>1441</v>
      </c>
      <c r="B1769" s="26">
        <v>42350</v>
      </c>
      <c r="C1769" s="27">
        <v>30</v>
      </c>
      <c r="D1769" s="25" t="str">
        <f t="shared" si="54"/>
        <v>201550</v>
      </c>
      <c r="E1769" s="22" t="str">
        <f t="shared" ca="1" si="55"/>
        <v>201512</v>
      </c>
      <c r="F1769" s="22">
        <v>2016</v>
      </c>
    </row>
    <row r="1770" spans="1:6" ht="15.75">
      <c r="A1770" s="22" t="s">
        <v>1441</v>
      </c>
      <c r="B1770" s="26">
        <v>42351</v>
      </c>
      <c r="C1770" s="27">
        <v>27.02</v>
      </c>
      <c r="D1770" s="25" t="str">
        <f t="shared" si="54"/>
        <v>201550</v>
      </c>
      <c r="E1770" s="22" t="str">
        <f t="shared" ca="1" si="55"/>
        <v>201512</v>
      </c>
      <c r="F1770" s="22">
        <v>2016</v>
      </c>
    </row>
    <row r="1771" spans="1:6" ht="15.75">
      <c r="A1771" s="22" t="s">
        <v>1441</v>
      </c>
      <c r="B1771" s="26">
        <v>42352</v>
      </c>
      <c r="C1771" s="27">
        <v>0</v>
      </c>
      <c r="D1771" s="25" t="str">
        <f t="shared" si="54"/>
        <v>201551</v>
      </c>
      <c r="E1771" s="22" t="str">
        <f t="shared" ca="1" si="55"/>
        <v>201512</v>
      </c>
      <c r="F1771" s="22">
        <v>2016</v>
      </c>
    </row>
    <row r="1772" spans="1:6" ht="15.75">
      <c r="A1772" s="22" t="s">
        <v>1441</v>
      </c>
      <c r="B1772" s="26">
        <v>42353</v>
      </c>
      <c r="C1772" s="27">
        <v>0</v>
      </c>
      <c r="D1772" s="25" t="str">
        <f t="shared" si="54"/>
        <v>201551</v>
      </c>
      <c r="E1772" s="22" t="str">
        <f t="shared" ca="1" si="55"/>
        <v>201512</v>
      </c>
      <c r="F1772" s="22">
        <v>2016</v>
      </c>
    </row>
    <row r="1773" spans="1:6" ht="15.75">
      <c r="A1773" s="22" t="s">
        <v>1441</v>
      </c>
      <c r="B1773" s="26">
        <v>42354</v>
      </c>
      <c r="C1773" s="27">
        <v>0</v>
      </c>
      <c r="D1773" s="25" t="str">
        <f t="shared" si="54"/>
        <v>201551</v>
      </c>
      <c r="E1773" s="22" t="str">
        <f t="shared" ca="1" si="55"/>
        <v>201512</v>
      </c>
      <c r="F1773" s="22">
        <v>2016</v>
      </c>
    </row>
    <row r="1774" spans="1:6" ht="15.75">
      <c r="A1774" s="22" t="s">
        <v>1441</v>
      </c>
      <c r="B1774" s="26">
        <v>42355</v>
      </c>
      <c r="C1774" s="27">
        <v>0</v>
      </c>
      <c r="D1774" s="25" t="str">
        <f t="shared" si="54"/>
        <v>201551</v>
      </c>
      <c r="E1774" s="22" t="str">
        <f t="shared" ca="1" si="55"/>
        <v>201512</v>
      </c>
      <c r="F1774" s="22">
        <v>2016</v>
      </c>
    </row>
    <row r="1775" spans="1:6" ht="15.75">
      <c r="A1775" s="22" t="s">
        <v>1441</v>
      </c>
      <c r="B1775" s="26">
        <v>42356</v>
      </c>
      <c r="C1775" s="27">
        <v>0</v>
      </c>
      <c r="D1775" s="25" t="str">
        <f t="shared" si="54"/>
        <v>201551</v>
      </c>
      <c r="E1775" s="22" t="str">
        <f t="shared" ca="1" si="55"/>
        <v>201512</v>
      </c>
      <c r="F1775" s="22">
        <v>2016</v>
      </c>
    </row>
    <row r="1776" spans="1:6" ht="15.75">
      <c r="A1776" s="22" t="s">
        <v>1441</v>
      </c>
      <c r="B1776" s="26">
        <v>42357</v>
      </c>
      <c r="C1776" s="27">
        <v>0</v>
      </c>
      <c r="D1776" s="25" t="str">
        <f t="shared" si="54"/>
        <v>201551</v>
      </c>
      <c r="E1776" s="22" t="str">
        <f t="shared" ca="1" si="55"/>
        <v>201512</v>
      </c>
      <c r="F1776" s="22">
        <v>2016</v>
      </c>
    </row>
    <row r="1777" spans="1:6" ht="15.75">
      <c r="A1777" s="22" t="s">
        <v>1441</v>
      </c>
      <c r="B1777" s="26">
        <v>42358</v>
      </c>
      <c r="C1777" s="27">
        <v>0</v>
      </c>
      <c r="D1777" s="25" t="str">
        <f t="shared" si="54"/>
        <v>201551</v>
      </c>
      <c r="E1777" s="22" t="str">
        <f t="shared" ca="1" si="55"/>
        <v>201512</v>
      </c>
      <c r="F1777" s="22">
        <v>2016</v>
      </c>
    </row>
    <row r="1778" spans="1:6" ht="15.75">
      <c r="A1778" s="22" t="s">
        <v>1441</v>
      </c>
      <c r="B1778" s="26">
        <v>42359</v>
      </c>
      <c r="C1778" s="27">
        <v>0</v>
      </c>
      <c r="D1778" s="25" t="str">
        <f t="shared" si="54"/>
        <v>201552</v>
      </c>
      <c r="E1778" s="22" t="str">
        <f t="shared" ca="1" si="55"/>
        <v>201512</v>
      </c>
      <c r="F1778" s="22">
        <v>2016</v>
      </c>
    </row>
    <row r="1779" spans="1:6" ht="15.75">
      <c r="A1779" s="22" t="s">
        <v>1441</v>
      </c>
      <c r="B1779" s="26">
        <v>42360</v>
      </c>
      <c r="C1779" s="27">
        <v>0</v>
      </c>
      <c r="D1779" s="25" t="str">
        <f t="shared" si="54"/>
        <v>201552</v>
      </c>
      <c r="E1779" s="22" t="str">
        <f t="shared" ca="1" si="55"/>
        <v>201512</v>
      </c>
      <c r="F1779" s="22">
        <v>2016</v>
      </c>
    </row>
    <row r="1780" spans="1:6" ht="15.75">
      <c r="A1780" s="22" t="s">
        <v>1441</v>
      </c>
      <c r="B1780" s="26">
        <v>42361</v>
      </c>
      <c r="C1780" s="27">
        <v>0</v>
      </c>
      <c r="D1780" s="25" t="str">
        <f t="shared" si="54"/>
        <v>201552</v>
      </c>
      <c r="E1780" s="22" t="str">
        <f t="shared" ca="1" si="55"/>
        <v>201512</v>
      </c>
      <c r="F1780" s="22">
        <v>2016</v>
      </c>
    </row>
    <row r="1781" spans="1:6" ht="15.75">
      <c r="A1781" s="22" t="s">
        <v>1441</v>
      </c>
      <c r="B1781" s="26">
        <v>42362</v>
      </c>
      <c r="C1781" s="27">
        <v>0</v>
      </c>
      <c r="D1781" s="25" t="str">
        <f t="shared" si="54"/>
        <v>201552</v>
      </c>
      <c r="E1781" s="22" t="str">
        <f t="shared" ca="1" si="55"/>
        <v>201512</v>
      </c>
      <c r="F1781" s="22">
        <v>2016</v>
      </c>
    </row>
    <row r="1782" spans="1:6" ht="15.75">
      <c r="A1782" s="22" t="s">
        <v>1441</v>
      </c>
      <c r="B1782" s="26">
        <v>42363</v>
      </c>
      <c r="C1782" s="27">
        <v>0</v>
      </c>
      <c r="D1782" s="25" t="str">
        <f t="shared" si="54"/>
        <v>201552</v>
      </c>
      <c r="E1782" s="22" t="str">
        <f t="shared" ca="1" si="55"/>
        <v>201512</v>
      </c>
      <c r="F1782" s="22">
        <v>2016</v>
      </c>
    </row>
    <row r="1783" spans="1:6" ht="15.75">
      <c r="A1783" s="22" t="s">
        <v>1441</v>
      </c>
      <c r="B1783" s="26">
        <v>42364</v>
      </c>
      <c r="C1783" s="27">
        <v>0</v>
      </c>
      <c r="D1783" s="25" t="str">
        <f t="shared" si="54"/>
        <v>201552</v>
      </c>
      <c r="E1783" s="22" t="str">
        <f t="shared" ca="1" si="55"/>
        <v>201512</v>
      </c>
      <c r="F1783" s="22">
        <v>2016</v>
      </c>
    </row>
    <row r="1784" spans="1:6" ht="15.75">
      <c r="A1784" s="22" t="s">
        <v>1441</v>
      </c>
      <c r="B1784" s="26">
        <v>42365</v>
      </c>
      <c r="C1784" s="27">
        <v>0</v>
      </c>
      <c r="D1784" s="25" t="str">
        <f t="shared" si="54"/>
        <v>201552</v>
      </c>
      <c r="E1784" s="22" t="str">
        <f t="shared" ca="1" si="55"/>
        <v>201512</v>
      </c>
      <c r="F1784" s="22">
        <v>2016</v>
      </c>
    </row>
    <row r="1785" spans="1:6" ht="15.75">
      <c r="A1785" s="22" t="s">
        <v>1441</v>
      </c>
      <c r="B1785" s="26">
        <v>42366</v>
      </c>
      <c r="C1785" s="27">
        <v>0</v>
      </c>
      <c r="D1785" s="25" t="str">
        <f t="shared" si="54"/>
        <v>201553</v>
      </c>
      <c r="E1785" s="22" t="str">
        <f t="shared" ca="1" si="55"/>
        <v>201512</v>
      </c>
      <c r="F1785" s="22">
        <v>2016</v>
      </c>
    </row>
    <row r="1786" spans="1:6" ht="15.75">
      <c r="A1786" s="22" t="s">
        <v>1441</v>
      </c>
      <c r="B1786" s="26">
        <v>42367</v>
      </c>
      <c r="C1786" s="27">
        <v>13.66</v>
      </c>
      <c r="D1786" s="25" t="str">
        <f t="shared" si="54"/>
        <v>201553</v>
      </c>
      <c r="E1786" s="22" t="str">
        <f t="shared" ca="1" si="55"/>
        <v>201512</v>
      </c>
      <c r="F1786" s="22">
        <v>2016</v>
      </c>
    </row>
    <row r="1787" spans="1:6" ht="15.75">
      <c r="A1787" s="22" t="s">
        <v>1441</v>
      </c>
      <c r="B1787" s="26">
        <v>42368</v>
      </c>
      <c r="C1787" s="27">
        <v>14</v>
      </c>
      <c r="D1787" s="25" t="str">
        <f t="shared" si="54"/>
        <v>201553</v>
      </c>
      <c r="E1787" s="22" t="str">
        <f t="shared" ca="1" si="55"/>
        <v>201512</v>
      </c>
      <c r="F1787" s="22">
        <v>2016</v>
      </c>
    </row>
    <row r="1788" spans="1:6" ht="15.75">
      <c r="A1788" s="22" t="s">
        <v>1441</v>
      </c>
      <c r="B1788" s="26">
        <v>42369</v>
      </c>
      <c r="C1788" s="27">
        <v>14</v>
      </c>
      <c r="D1788" s="25" t="str">
        <f t="shared" si="54"/>
        <v>201553</v>
      </c>
      <c r="E1788" s="22" t="str">
        <f t="shared" ca="1" si="55"/>
        <v>201512</v>
      </c>
      <c r="F1788" s="22">
        <v>2016</v>
      </c>
    </row>
    <row r="1789" spans="1:6" ht="15.75">
      <c r="A1789" s="22" t="s">
        <v>1441</v>
      </c>
      <c r="B1789" s="26">
        <v>42370</v>
      </c>
      <c r="C1789" s="27">
        <v>14</v>
      </c>
      <c r="D1789" s="25" t="str">
        <f t="shared" si="54"/>
        <v>201553</v>
      </c>
      <c r="E1789" s="22" t="str">
        <f t="shared" ca="1" si="55"/>
        <v>201601</v>
      </c>
      <c r="F1789" s="22">
        <v>2016</v>
      </c>
    </row>
    <row r="1790" spans="1:6" ht="15.75">
      <c r="A1790" s="22" t="s">
        <v>1441</v>
      </c>
      <c r="B1790" s="26">
        <v>42371</v>
      </c>
      <c r="C1790" s="27">
        <v>14</v>
      </c>
      <c r="D1790" s="25" t="str">
        <f t="shared" si="54"/>
        <v>201553</v>
      </c>
      <c r="E1790" s="22" t="str">
        <f t="shared" ca="1" si="55"/>
        <v>201601</v>
      </c>
      <c r="F1790" s="22">
        <v>2016</v>
      </c>
    </row>
    <row r="1791" spans="1:6" ht="15.75">
      <c r="A1791" s="22" t="s">
        <v>1441</v>
      </c>
      <c r="B1791" s="26">
        <v>42372</v>
      </c>
      <c r="C1791" s="27">
        <v>14</v>
      </c>
      <c r="D1791" s="25" t="str">
        <f t="shared" si="54"/>
        <v>201553</v>
      </c>
      <c r="E1791" s="22" t="str">
        <f t="shared" ca="1" si="55"/>
        <v>201601</v>
      </c>
      <c r="F1791" s="22">
        <v>2016</v>
      </c>
    </row>
    <row r="1792" spans="1:6" ht="15.75">
      <c r="A1792" s="22" t="s">
        <v>1441</v>
      </c>
      <c r="B1792" s="26">
        <v>42373</v>
      </c>
      <c r="C1792" s="27">
        <v>10.38</v>
      </c>
      <c r="D1792" s="25" t="str">
        <f t="shared" si="54"/>
        <v>201601</v>
      </c>
      <c r="E1792" s="22" t="str">
        <f t="shared" ca="1" si="55"/>
        <v>201601</v>
      </c>
      <c r="F1792" s="22">
        <v>2016</v>
      </c>
    </row>
    <row r="1793" spans="1:6" ht="15.75">
      <c r="A1793" s="22" t="s">
        <v>1441</v>
      </c>
      <c r="B1793" s="26">
        <v>42374</v>
      </c>
      <c r="C1793" s="27">
        <v>0</v>
      </c>
      <c r="D1793" s="25" t="str">
        <f t="shared" si="54"/>
        <v>201601</v>
      </c>
      <c r="E1793" s="22" t="str">
        <f t="shared" ca="1" si="55"/>
        <v>201601</v>
      </c>
      <c r="F1793" s="22">
        <v>2016</v>
      </c>
    </row>
    <row r="1794" spans="1:6" ht="15.75">
      <c r="A1794" s="22" t="s">
        <v>1441</v>
      </c>
      <c r="B1794" s="26">
        <v>42375</v>
      </c>
      <c r="C1794" s="27">
        <v>0</v>
      </c>
      <c r="D1794" s="25" t="str">
        <f t="shared" si="54"/>
        <v>201601</v>
      </c>
      <c r="E1794" s="22" t="str">
        <f t="shared" ca="1" si="55"/>
        <v>201601</v>
      </c>
      <c r="F1794" s="22">
        <v>2016</v>
      </c>
    </row>
    <row r="1795" spans="1:6" ht="15.75">
      <c r="A1795" s="22" t="s">
        <v>1441</v>
      </c>
      <c r="B1795" s="26">
        <v>42376</v>
      </c>
      <c r="C1795" s="27">
        <v>0</v>
      </c>
      <c r="D1795" s="25" t="str">
        <f t="shared" ref="D1795:D1858" si="56">CONCATENATE(YEAR(B1795-WEEKDAY(B1795,3)+3),TEXT(WEEKNUM(B1795,21),"00"))</f>
        <v>201601</v>
      </c>
      <c r="E1795" s="22" t="str">
        <f t="shared" ref="E1795:E1858" ca="1" si="57">IF(
  AND(
    YEAR(B1795)=YEAR(TODAY())-1,
    MONTH(B1795)=MONTH(TODAY()),
    DAY(B1795)&gt;DAY($H$2)
  ),
  0,
  CONCATENATE(YEAR(B1795),TEXT(MONTH(B1795),"00"))
)</f>
        <v>201601</v>
      </c>
      <c r="F1795" s="22">
        <v>2016</v>
      </c>
    </row>
    <row r="1796" spans="1:6" ht="15.75">
      <c r="A1796" s="22" t="s">
        <v>1441</v>
      </c>
      <c r="B1796" s="26">
        <v>42377</v>
      </c>
      <c r="C1796" s="27">
        <v>0</v>
      </c>
      <c r="D1796" s="25" t="str">
        <f t="shared" si="56"/>
        <v>201601</v>
      </c>
      <c r="E1796" s="22" t="str">
        <f t="shared" ca="1" si="57"/>
        <v>201601</v>
      </c>
      <c r="F1796" s="22">
        <v>2016</v>
      </c>
    </row>
    <row r="1797" spans="1:6" ht="15.75">
      <c r="A1797" s="22" t="s">
        <v>1441</v>
      </c>
      <c r="B1797" s="26">
        <v>42378</v>
      </c>
      <c r="C1797" s="27">
        <v>0</v>
      </c>
      <c r="D1797" s="25" t="str">
        <f t="shared" si="56"/>
        <v>201601</v>
      </c>
      <c r="E1797" s="22" t="str">
        <f t="shared" ca="1" si="57"/>
        <v>201601</v>
      </c>
      <c r="F1797" s="22">
        <v>2016</v>
      </c>
    </row>
    <row r="1798" spans="1:6" ht="15.75">
      <c r="A1798" s="22" t="s">
        <v>1441</v>
      </c>
      <c r="B1798" s="26">
        <v>42379</v>
      </c>
      <c r="C1798" s="27">
        <v>0</v>
      </c>
      <c r="D1798" s="25" t="str">
        <f t="shared" si="56"/>
        <v>201601</v>
      </c>
      <c r="E1798" s="22" t="str">
        <f t="shared" ca="1" si="57"/>
        <v>201601</v>
      </c>
      <c r="F1798" s="22">
        <v>2016</v>
      </c>
    </row>
    <row r="1799" spans="1:6" ht="15.75">
      <c r="A1799" s="22" t="s">
        <v>1441</v>
      </c>
      <c r="B1799" s="26">
        <v>42380</v>
      </c>
      <c r="C1799" s="27">
        <v>0</v>
      </c>
      <c r="D1799" s="25" t="str">
        <f t="shared" si="56"/>
        <v>201602</v>
      </c>
      <c r="E1799" s="22" t="str">
        <f t="shared" ca="1" si="57"/>
        <v>201601</v>
      </c>
      <c r="F1799" s="22">
        <v>2016</v>
      </c>
    </row>
    <row r="1800" spans="1:6" ht="15.75">
      <c r="A1800" s="22" t="s">
        <v>1441</v>
      </c>
      <c r="B1800" s="26">
        <v>42381</v>
      </c>
      <c r="C1800" s="27">
        <v>0</v>
      </c>
      <c r="D1800" s="25" t="str">
        <f t="shared" si="56"/>
        <v>201602</v>
      </c>
      <c r="E1800" s="22" t="str">
        <f t="shared" ca="1" si="57"/>
        <v>201601</v>
      </c>
      <c r="F1800" s="22">
        <v>2016</v>
      </c>
    </row>
    <row r="1801" spans="1:6" ht="15.75">
      <c r="A1801" s="22" t="s">
        <v>1441</v>
      </c>
      <c r="B1801" s="26">
        <v>42382</v>
      </c>
      <c r="C1801" s="27">
        <v>0</v>
      </c>
      <c r="D1801" s="25" t="str">
        <f t="shared" si="56"/>
        <v>201602</v>
      </c>
      <c r="E1801" s="22" t="str">
        <f t="shared" ca="1" si="57"/>
        <v>201601</v>
      </c>
      <c r="F1801" s="22">
        <v>2016</v>
      </c>
    </row>
    <row r="1802" spans="1:6" ht="15.75">
      <c r="A1802" s="22" t="s">
        <v>1441</v>
      </c>
      <c r="B1802" s="26">
        <v>42383</v>
      </c>
      <c r="C1802" s="27">
        <v>0</v>
      </c>
      <c r="D1802" s="25" t="str">
        <f t="shared" si="56"/>
        <v>201602</v>
      </c>
      <c r="E1802" s="22" t="str">
        <f t="shared" ca="1" si="57"/>
        <v>201601</v>
      </c>
      <c r="F1802" s="22">
        <v>2016</v>
      </c>
    </row>
    <row r="1803" spans="1:6" ht="15.75">
      <c r="A1803" s="22" t="s">
        <v>1441</v>
      </c>
      <c r="B1803" s="26">
        <v>42384</v>
      </c>
      <c r="C1803" s="27">
        <v>0</v>
      </c>
      <c r="D1803" s="25" t="str">
        <f t="shared" si="56"/>
        <v>201602</v>
      </c>
      <c r="E1803" s="22" t="str">
        <f t="shared" ca="1" si="57"/>
        <v>201601</v>
      </c>
      <c r="F1803" s="22">
        <v>2016</v>
      </c>
    </row>
    <row r="1804" spans="1:6" ht="15.75">
      <c r="A1804" s="22" t="s">
        <v>1441</v>
      </c>
      <c r="B1804" s="26">
        <v>42385</v>
      </c>
      <c r="C1804" s="27">
        <v>0</v>
      </c>
      <c r="D1804" s="25" t="str">
        <f t="shared" si="56"/>
        <v>201602</v>
      </c>
      <c r="E1804" s="22" t="str">
        <f t="shared" ca="1" si="57"/>
        <v>201601</v>
      </c>
      <c r="F1804" s="22">
        <v>2016</v>
      </c>
    </row>
    <row r="1805" spans="1:6" ht="15.75">
      <c r="A1805" s="22" t="s">
        <v>1441</v>
      </c>
      <c r="B1805" s="26">
        <v>42386</v>
      </c>
      <c r="C1805" s="27">
        <v>0</v>
      </c>
      <c r="D1805" s="25" t="str">
        <f t="shared" si="56"/>
        <v>201602</v>
      </c>
      <c r="E1805" s="22" t="str">
        <f t="shared" ca="1" si="57"/>
        <v>201601</v>
      </c>
      <c r="F1805" s="22">
        <v>2016</v>
      </c>
    </row>
    <row r="1806" spans="1:6" ht="15.75">
      <c r="A1806" s="22" t="s">
        <v>1441</v>
      </c>
      <c r="B1806" s="26">
        <v>42387</v>
      </c>
      <c r="C1806" s="27">
        <v>0</v>
      </c>
      <c r="D1806" s="25" t="str">
        <f t="shared" si="56"/>
        <v>201603</v>
      </c>
      <c r="E1806" s="22" t="str">
        <f t="shared" ca="1" si="57"/>
        <v>201601</v>
      </c>
      <c r="F1806" s="22">
        <v>2016</v>
      </c>
    </row>
    <row r="1807" spans="1:6" ht="15.75">
      <c r="A1807" s="22" t="s">
        <v>1441</v>
      </c>
      <c r="B1807" s="26">
        <v>42388</v>
      </c>
      <c r="C1807" s="27">
        <v>0</v>
      </c>
      <c r="D1807" s="25" t="str">
        <f t="shared" si="56"/>
        <v>201603</v>
      </c>
      <c r="E1807" s="22" t="str">
        <f t="shared" ca="1" si="57"/>
        <v>201601</v>
      </c>
      <c r="F1807" s="22">
        <v>2016</v>
      </c>
    </row>
    <row r="1808" spans="1:6" ht="15.75">
      <c r="A1808" s="22" t="s">
        <v>1441</v>
      </c>
      <c r="B1808" s="26">
        <v>42389</v>
      </c>
      <c r="C1808" s="27">
        <v>0</v>
      </c>
      <c r="D1808" s="25" t="str">
        <f t="shared" si="56"/>
        <v>201603</v>
      </c>
      <c r="E1808" s="22" t="str">
        <f t="shared" ca="1" si="57"/>
        <v>201601</v>
      </c>
      <c r="F1808" s="22">
        <v>2016</v>
      </c>
    </row>
    <row r="1809" spans="1:6" ht="15.75">
      <c r="A1809" s="22" t="s">
        <v>1441</v>
      </c>
      <c r="B1809" s="26">
        <v>42390</v>
      </c>
      <c r="C1809" s="27">
        <v>0</v>
      </c>
      <c r="D1809" s="25" t="str">
        <f t="shared" si="56"/>
        <v>201603</v>
      </c>
      <c r="E1809" s="22" t="str">
        <f t="shared" ca="1" si="57"/>
        <v>201601</v>
      </c>
      <c r="F1809" s="22">
        <v>2016</v>
      </c>
    </row>
    <row r="1810" spans="1:6" ht="15.75">
      <c r="A1810" s="22" t="s">
        <v>1441</v>
      </c>
      <c r="B1810" s="26">
        <v>42391</v>
      </c>
      <c r="C1810" s="27">
        <v>0</v>
      </c>
      <c r="D1810" s="25" t="str">
        <f t="shared" si="56"/>
        <v>201603</v>
      </c>
      <c r="E1810" s="22" t="str">
        <f t="shared" ca="1" si="57"/>
        <v>201601</v>
      </c>
      <c r="F1810" s="22">
        <v>2016</v>
      </c>
    </row>
    <row r="1811" spans="1:6" ht="15.75">
      <c r="A1811" s="22" t="s">
        <v>1441</v>
      </c>
      <c r="B1811" s="26">
        <v>42392</v>
      </c>
      <c r="C1811" s="27">
        <v>0</v>
      </c>
      <c r="D1811" s="25" t="str">
        <f t="shared" si="56"/>
        <v>201603</v>
      </c>
      <c r="E1811" s="22" t="str">
        <f t="shared" ca="1" si="57"/>
        <v>201601</v>
      </c>
      <c r="F1811" s="22">
        <v>2016</v>
      </c>
    </row>
    <row r="1812" spans="1:6" ht="15.75">
      <c r="A1812" s="22" t="s">
        <v>1441</v>
      </c>
      <c r="B1812" s="26">
        <v>42393</v>
      </c>
      <c r="C1812" s="27">
        <v>0</v>
      </c>
      <c r="D1812" s="25" t="str">
        <f t="shared" si="56"/>
        <v>201603</v>
      </c>
      <c r="E1812" s="22" t="str">
        <f t="shared" ca="1" si="57"/>
        <v>201601</v>
      </c>
      <c r="F1812" s="22">
        <v>2016</v>
      </c>
    </row>
    <row r="1813" spans="1:6" ht="15.75">
      <c r="A1813" s="22" t="s">
        <v>1441</v>
      </c>
      <c r="B1813" s="26">
        <v>42394</v>
      </c>
      <c r="C1813" s="27">
        <v>0</v>
      </c>
      <c r="D1813" s="25" t="str">
        <f t="shared" si="56"/>
        <v>201604</v>
      </c>
      <c r="E1813" s="22" t="str">
        <f t="shared" ca="1" si="57"/>
        <v>201601</v>
      </c>
      <c r="F1813" s="22">
        <v>2016</v>
      </c>
    </row>
    <row r="1814" spans="1:6" ht="15.75">
      <c r="A1814" s="22" t="s">
        <v>1441</v>
      </c>
      <c r="B1814" s="26">
        <v>42395</v>
      </c>
      <c r="C1814" s="27">
        <v>0</v>
      </c>
      <c r="D1814" s="25" t="str">
        <f t="shared" si="56"/>
        <v>201604</v>
      </c>
      <c r="E1814" s="22" t="str">
        <f t="shared" ca="1" si="57"/>
        <v>201601</v>
      </c>
      <c r="F1814" s="22">
        <v>2016</v>
      </c>
    </row>
    <row r="1815" spans="1:6" ht="15.75">
      <c r="A1815" s="22" t="s">
        <v>1441</v>
      </c>
      <c r="B1815" s="26">
        <v>42396</v>
      </c>
      <c r="C1815" s="27">
        <v>0</v>
      </c>
      <c r="D1815" s="25" t="str">
        <f t="shared" si="56"/>
        <v>201604</v>
      </c>
      <c r="E1815" s="22" t="str">
        <f t="shared" ca="1" si="57"/>
        <v>201601</v>
      </c>
      <c r="F1815" s="22">
        <v>2016</v>
      </c>
    </row>
    <row r="1816" spans="1:6" ht="15.75">
      <c r="A1816" s="22" t="s">
        <v>1441</v>
      </c>
      <c r="B1816" s="26">
        <v>42397</v>
      </c>
      <c r="C1816" s="27">
        <v>0</v>
      </c>
      <c r="D1816" s="25" t="str">
        <f t="shared" si="56"/>
        <v>201604</v>
      </c>
      <c r="E1816" s="22" t="str">
        <f t="shared" ca="1" si="57"/>
        <v>201601</v>
      </c>
      <c r="F1816" s="22">
        <v>2016</v>
      </c>
    </row>
    <row r="1817" spans="1:6" ht="15.75">
      <c r="A1817" s="22" t="s">
        <v>1441</v>
      </c>
      <c r="B1817" s="26">
        <v>42398</v>
      </c>
      <c r="C1817" s="27">
        <v>0</v>
      </c>
      <c r="D1817" s="25" t="str">
        <f t="shared" si="56"/>
        <v>201604</v>
      </c>
      <c r="E1817" s="22" t="str">
        <f t="shared" ca="1" si="57"/>
        <v>201601</v>
      </c>
      <c r="F1817" s="22">
        <v>2016</v>
      </c>
    </row>
    <row r="1818" spans="1:6" ht="15.75">
      <c r="A1818" s="22" t="s">
        <v>1441</v>
      </c>
      <c r="B1818" s="26">
        <v>42399</v>
      </c>
      <c r="C1818" s="27">
        <v>0</v>
      </c>
      <c r="D1818" s="25" t="str">
        <f t="shared" si="56"/>
        <v>201604</v>
      </c>
      <c r="E1818" s="22" t="str">
        <f t="shared" ca="1" si="57"/>
        <v>201601</v>
      </c>
      <c r="F1818" s="22">
        <v>2016</v>
      </c>
    </row>
    <row r="1819" spans="1:6" ht="15.75">
      <c r="A1819" s="22" t="s">
        <v>1441</v>
      </c>
      <c r="B1819" s="26">
        <v>42400</v>
      </c>
      <c r="C1819" s="27">
        <v>0</v>
      </c>
      <c r="D1819" s="25" t="str">
        <f t="shared" si="56"/>
        <v>201604</v>
      </c>
      <c r="E1819" s="22" t="str">
        <f t="shared" ca="1" si="57"/>
        <v>201601</v>
      </c>
      <c r="F1819" s="22">
        <v>2016</v>
      </c>
    </row>
    <row r="1820" spans="1:6" ht="15.75">
      <c r="A1820" s="22" t="s">
        <v>1441</v>
      </c>
      <c r="B1820" s="26">
        <v>42401</v>
      </c>
      <c r="C1820" s="27">
        <v>1.65</v>
      </c>
      <c r="D1820" s="25" t="str">
        <f t="shared" si="56"/>
        <v>201605</v>
      </c>
      <c r="E1820" s="22" t="str">
        <f t="shared" ca="1" si="57"/>
        <v>201602</v>
      </c>
      <c r="F1820" s="22">
        <v>2016</v>
      </c>
    </row>
    <row r="1821" spans="1:6" ht="15.75">
      <c r="A1821" s="22" t="s">
        <v>1441</v>
      </c>
      <c r="B1821" s="26">
        <v>42402</v>
      </c>
      <c r="C1821" s="27">
        <v>6.65</v>
      </c>
      <c r="D1821" s="25" t="str">
        <f t="shared" si="56"/>
        <v>201605</v>
      </c>
      <c r="E1821" s="22" t="str">
        <f t="shared" ca="1" si="57"/>
        <v>201602</v>
      </c>
      <c r="F1821" s="22">
        <v>2016</v>
      </c>
    </row>
    <row r="1822" spans="1:6" ht="15.75">
      <c r="A1822" s="22" t="s">
        <v>1441</v>
      </c>
      <c r="B1822" s="26">
        <v>42403</v>
      </c>
      <c r="C1822" s="27">
        <v>7.21</v>
      </c>
      <c r="D1822" s="25" t="str">
        <f t="shared" si="56"/>
        <v>201605</v>
      </c>
      <c r="E1822" s="22" t="str">
        <f t="shared" ca="1" si="57"/>
        <v>201602</v>
      </c>
      <c r="F1822" s="22">
        <v>2016</v>
      </c>
    </row>
    <row r="1823" spans="1:6" ht="15.75">
      <c r="A1823" s="22" t="s">
        <v>1441</v>
      </c>
      <c r="B1823" s="26">
        <v>42404</v>
      </c>
      <c r="C1823" s="27">
        <v>6.16</v>
      </c>
      <c r="D1823" s="25" t="str">
        <f t="shared" si="56"/>
        <v>201605</v>
      </c>
      <c r="E1823" s="22" t="str">
        <f t="shared" ca="1" si="57"/>
        <v>201602</v>
      </c>
      <c r="F1823" s="22">
        <v>2016</v>
      </c>
    </row>
    <row r="1824" spans="1:6" ht="15.75">
      <c r="A1824" s="22" t="s">
        <v>1441</v>
      </c>
      <c r="B1824" s="26">
        <v>42405</v>
      </c>
      <c r="C1824" s="27">
        <v>7.42</v>
      </c>
      <c r="D1824" s="25" t="str">
        <f t="shared" si="56"/>
        <v>201605</v>
      </c>
      <c r="E1824" s="22" t="str">
        <f t="shared" ca="1" si="57"/>
        <v>201602</v>
      </c>
      <c r="F1824" s="22">
        <v>2016</v>
      </c>
    </row>
    <row r="1825" spans="1:6" ht="15.75">
      <c r="A1825" s="22" t="s">
        <v>1441</v>
      </c>
      <c r="B1825" s="26">
        <v>42406</v>
      </c>
      <c r="C1825" s="27">
        <v>5.41</v>
      </c>
      <c r="D1825" s="25" t="str">
        <f t="shared" si="56"/>
        <v>201605</v>
      </c>
      <c r="E1825" s="22" t="str">
        <f t="shared" ca="1" si="57"/>
        <v>201602</v>
      </c>
      <c r="F1825" s="22">
        <v>2016</v>
      </c>
    </row>
    <row r="1826" spans="1:6" ht="15.75">
      <c r="A1826" s="22" t="s">
        <v>1441</v>
      </c>
      <c r="B1826" s="26">
        <v>42407</v>
      </c>
      <c r="C1826" s="27">
        <v>6.89</v>
      </c>
      <c r="D1826" s="25" t="str">
        <f t="shared" si="56"/>
        <v>201605</v>
      </c>
      <c r="E1826" s="22" t="str">
        <f t="shared" ca="1" si="57"/>
        <v>201602</v>
      </c>
      <c r="F1826" s="22">
        <v>2016</v>
      </c>
    </row>
    <row r="1827" spans="1:6" ht="15.75">
      <c r="A1827" s="22" t="s">
        <v>1441</v>
      </c>
      <c r="B1827" s="26">
        <v>42408</v>
      </c>
      <c r="C1827" s="27">
        <v>6.6</v>
      </c>
      <c r="D1827" s="25" t="str">
        <f t="shared" si="56"/>
        <v>201606</v>
      </c>
      <c r="E1827" s="22" t="str">
        <f t="shared" ca="1" si="57"/>
        <v>201602</v>
      </c>
      <c r="F1827" s="22">
        <v>2016</v>
      </c>
    </row>
    <row r="1828" spans="1:6" ht="15.75">
      <c r="A1828" s="22" t="s">
        <v>1441</v>
      </c>
      <c r="B1828" s="26">
        <v>42409</v>
      </c>
      <c r="C1828" s="27">
        <v>7.66</v>
      </c>
      <c r="D1828" s="25" t="str">
        <f t="shared" si="56"/>
        <v>201606</v>
      </c>
      <c r="E1828" s="22" t="str">
        <f t="shared" ca="1" si="57"/>
        <v>201602</v>
      </c>
      <c r="F1828" s="22">
        <v>2016</v>
      </c>
    </row>
    <row r="1829" spans="1:6" ht="15.75">
      <c r="A1829" s="22" t="s">
        <v>1441</v>
      </c>
      <c r="B1829" s="26">
        <v>42410</v>
      </c>
      <c r="C1829" s="27">
        <v>4.74</v>
      </c>
      <c r="D1829" s="25" t="str">
        <f t="shared" si="56"/>
        <v>201606</v>
      </c>
      <c r="E1829" s="22" t="str">
        <f t="shared" ca="1" si="57"/>
        <v>201602</v>
      </c>
      <c r="F1829" s="22">
        <v>2016</v>
      </c>
    </row>
    <row r="1830" spans="1:6" ht="15.75">
      <c r="A1830" s="22" t="s">
        <v>1441</v>
      </c>
      <c r="B1830" s="26">
        <v>42411</v>
      </c>
      <c r="C1830" s="27">
        <v>5.63</v>
      </c>
      <c r="D1830" s="25" t="str">
        <f t="shared" si="56"/>
        <v>201606</v>
      </c>
      <c r="E1830" s="22" t="str">
        <f t="shared" ca="1" si="57"/>
        <v>201602</v>
      </c>
      <c r="F1830" s="22">
        <v>2016</v>
      </c>
    </row>
    <row r="1831" spans="1:6" ht="15.75">
      <c r="A1831" s="22" t="s">
        <v>1441</v>
      </c>
      <c r="B1831" s="26">
        <v>42412</v>
      </c>
      <c r="C1831" s="27">
        <v>8.41</v>
      </c>
      <c r="D1831" s="25" t="str">
        <f t="shared" si="56"/>
        <v>201606</v>
      </c>
      <c r="E1831" s="22" t="str">
        <f t="shared" ca="1" si="57"/>
        <v>201602</v>
      </c>
      <c r="F1831" s="22">
        <v>2016</v>
      </c>
    </row>
    <row r="1832" spans="1:6" ht="15.75">
      <c r="A1832" s="22" t="s">
        <v>1441</v>
      </c>
      <c r="B1832" s="26">
        <v>42413</v>
      </c>
      <c r="C1832" s="27">
        <v>7.77</v>
      </c>
      <c r="D1832" s="25" t="str">
        <f t="shared" si="56"/>
        <v>201606</v>
      </c>
      <c r="E1832" s="22" t="str">
        <f t="shared" ca="1" si="57"/>
        <v>201602</v>
      </c>
      <c r="F1832" s="22">
        <v>2016</v>
      </c>
    </row>
    <row r="1833" spans="1:6" ht="15.75">
      <c r="A1833" s="22" t="s">
        <v>1441</v>
      </c>
      <c r="B1833" s="26">
        <v>42414</v>
      </c>
      <c r="C1833" s="27">
        <v>6.56</v>
      </c>
      <c r="D1833" s="25" t="str">
        <f t="shared" si="56"/>
        <v>201606</v>
      </c>
      <c r="E1833" s="22" t="str">
        <f t="shared" ca="1" si="57"/>
        <v>201602</v>
      </c>
      <c r="F1833" s="22">
        <v>2016</v>
      </c>
    </row>
    <row r="1834" spans="1:6" ht="15.75">
      <c r="A1834" s="22" t="s">
        <v>1441</v>
      </c>
      <c r="B1834" s="26">
        <v>42415</v>
      </c>
      <c r="C1834" s="27">
        <v>6</v>
      </c>
      <c r="D1834" s="25" t="str">
        <f t="shared" si="56"/>
        <v>201607</v>
      </c>
      <c r="E1834" s="22" t="str">
        <f t="shared" ca="1" si="57"/>
        <v>201602</v>
      </c>
      <c r="F1834" s="22">
        <v>2016</v>
      </c>
    </row>
    <row r="1835" spans="1:6" ht="15.75">
      <c r="A1835" s="22" t="s">
        <v>1441</v>
      </c>
      <c r="B1835" s="26">
        <v>42416</v>
      </c>
      <c r="C1835" s="27">
        <v>5.0199999999999996</v>
      </c>
      <c r="D1835" s="25" t="str">
        <f t="shared" si="56"/>
        <v>201607</v>
      </c>
      <c r="E1835" s="22" t="str">
        <f t="shared" ca="1" si="57"/>
        <v>201602</v>
      </c>
      <c r="F1835" s="22">
        <v>2016</v>
      </c>
    </row>
    <row r="1836" spans="1:6" ht="15.75">
      <c r="A1836" s="22" t="s">
        <v>1441</v>
      </c>
      <c r="B1836" s="26">
        <v>42417</v>
      </c>
      <c r="C1836" s="27">
        <v>3.91</v>
      </c>
      <c r="D1836" s="25" t="str">
        <f t="shared" si="56"/>
        <v>201607</v>
      </c>
      <c r="E1836" s="22" t="str">
        <f t="shared" ca="1" si="57"/>
        <v>201602</v>
      </c>
      <c r="F1836" s="22">
        <v>2016</v>
      </c>
    </row>
    <row r="1837" spans="1:6" ht="15.75">
      <c r="A1837" s="22" t="s">
        <v>1441</v>
      </c>
      <c r="B1837" s="26">
        <v>42418</v>
      </c>
      <c r="C1837" s="27">
        <v>6.84</v>
      </c>
      <c r="D1837" s="25" t="str">
        <f t="shared" si="56"/>
        <v>201607</v>
      </c>
      <c r="E1837" s="22" t="str">
        <f t="shared" ca="1" si="57"/>
        <v>201602</v>
      </c>
      <c r="F1837" s="22">
        <v>2016</v>
      </c>
    </row>
    <row r="1838" spans="1:6" ht="15.75">
      <c r="A1838" s="22" t="s">
        <v>1441</v>
      </c>
      <c r="B1838" s="26">
        <v>42419</v>
      </c>
      <c r="C1838" s="27">
        <v>8.36</v>
      </c>
      <c r="D1838" s="25" t="str">
        <f t="shared" si="56"/>
        <v>201607</v>
      </c>
      <c r="E1838" s="22" t="str">
        <f t="shared" ca="1" si="57"/>
        <v>201602</v>
      </c>
      <c r="F1838" s="22">
        <v>2016</v>
      </c>
    </row>
    <row r="1839" spans="1:6" ht="15.75">
      <c r="A1839" s="22" t="s">
        <v>1441</v>
      </c>
      <c r="B1839" s="26">
        <v>42420</v>
      </c>
      <c r="C1839" s="27">
        <v>9.41</v>
      </c>
      <c r="D1839" s="25" t="str">
        <f t="shared" si="56"/>
        <v>201607</v>
      </c>
      <c r="E1839" s="22" t="str">
        <f t="shared" ca="1" si="57"/>
        <v>201602</v>
      </c>
      <c r="F1839" s="22">
        <v>2016</v>
      </c>
    </row>
    <row r="1840" spans="1:6" ht="15.75">
      <c r="A1840" s="22" t="s">
        <v>1441</v>
      </c>
      <c r="B1840" s="26">
        <v>42421</v>
      </c>
      <c r="C1840" s="27">
        <v>8.1300000000000008</v>
      </c>
      <c r="D1840" s="25" t="str">
        <f t="shared" si="56"/>
        <v>201607</v>
      </c>
      <c r="E1840" s="22" t="str">
        <f t="shared" ca="1" si="57"/>
        <v>201602</v>
      </c>
      <c r="F1840" s="22">
        <v>2016</v>
      </c>
    </row>
    <row r="1841" spans="1:6" ht="15.75">
      <c r="A1841" s="22" t="s">
        <v>1441</v>
      </c>
      <c r="B1841" s="26">
        <v>42422</v>
      </c>
      <c r="C1841" s="27">
        <v>6.5</v>
      </c>
      <c r="D1841" s="25" t="str">
        <f t="shared" si="56"/>
        <v>201608</v>
      </c>
      <c r="E1841" s="22" t="str">
        <f t="shared" ca="1" si="57"/>
        <v>201602</v>
      </c>
      <c r="F1841" s="22">
        <v>2016</v>
      </c>
    </row>
    <row r="1842" spans="1:6" ht="15.75">
      <c r="A1842" s="22" t="s">
        <v>1441</v>
      </c>
      <c r="B1842" s="26">
        <v>42423</v>
      </c>
      <c r="C1842" s="27">
        <v>5.81</v>
      </c>
      <c r="D1842" s="25" t="str">
        <f t="shared" si="56"/>
        <v>201608</v>
      </c>
      <c r="E1842" s="22" t="str">
        <f t="shared" ca="1" si="57"/>
        <v>201602</v>
      </c>
      <c r="F1842" s="22">
        <v>2016</v>
      </c>
    </row>
    <row r="1843" spans="1:6" ht="15.75">
      <c r="A1843" s="22" t="s">
        <v>1441</v>
      </c>
      <c r="B1843" s="26">
        <v>42424</v>
      </c>
      <c r="C1843" s="27">
        <v>1.84</v>
      </c>
      <c r="D1843" s="25" t="str">
        <f t="shared" si="56"/>
        <v>201608</v>
      </c>
      <c r="E1843" s="22" t="str">
        <f t="shared" ca="1" si="57"/>
        <v>201602</v>
      </c>
      <c r="F1843" s="22">
        <v>2016</v>
      </c>
    </row>
    <row r="1844" spans="1:6" ht="15.75">
      <c r="A1844" s="22" t="s">
        <v>1441</v>
      </c>
      <c r="B1844" s="26">
        <v>42425</v>
      </c>
      <c r="C1844" s="27">
        <v>3.98</v>
      </c>
      <c r="D1844" s="25" t="str">
        <f t="shared" si="56"/>
        <v>201608</v>
      </c>
      <c r="E1844" s="22" t="str">
        <f t="shared" ca="1" si="57"/>
        <v>201602</v>
      </c>
      <c r="F1844" s="22">
        <v>2016</v>
      </c>
    </row>
    <row r="1845" spans="1:6" ht="15.75">
      <c r="A1845" s="22" t="s">
        <v>1441</v>
      </c>
      <c r="B1845" s="26">
        <v>42426</v>
      </c>
      <c r="C1845" s="27">
        <v>0</v>
      </c>
      <c r="D1845" s="25" t="str">
        <f t="shared" si="56"/>
        <v>201608</v>
      </c>
      <c r="E1845" s="22" t="str">
        <f t="shared" ca="1" si="57"/>
        <v>201602</v>
      </c>
      <c r="F1845" s="22">
        <v>2016</v>
      </c>
    </row>
    <row r="1846" spans="1:6" ht="15.75">
      <c r="A1846" s="22" t="s">
        <v>1441</v>
      </c>
      <c r="B1846" s="26">
        <v>42427</v>
      </c>
      <c r="C1846" s="27">
        <v>0</v>
      </c>
      <c r="D1846" s="25" t="str">
        <f t="shared" si="56"/>
        <v>201608</v>
      </c>
      <c r="E1846" s="22" t="str">
        <f t="shared" ca="1" si="57"/>
        <v>201602</v>
      </c>
      <c r="F1846" s="22">
        <v>2016</v>
      </c>
    </row>
    <row r="1847" spans="1:6" ht="15.75">
      <c r="A1847" s="22" t="s">
        <v>1441</v>
      </c>
      <c r="B1847" s="26">
        <v>42428</v>
      </c>
      <c r="C1847" s="27">
        <v>0</v>
      </c>
      <c r="D1847" s="25" t="str">
        <f t="shared" si="56"/>
        <v>201608</v>
      </c>
      <c r="E1847" s="22" t="str">
        <f t="shared" ca="1" si="57"/>
        <v>201602</v>
      </c>
      <c r="F1847" s="22">
        <v>2016</v>
      </c>
    </row>
    <row r="1848" spans="1:6" ht="15.75">
      <c r="A1848" s="22" t="s">
        <v>1441</v>
      </c>
      <c r="B1848" s="26">
        <v>42429</v>
      </c>
      <c r="C1848" s="27">
        <v>0</v>
      </c>
      <c r="D1848" s="25" t="str">
        <f t="shared" si="56"/>
        <v>201609</v>
      </c>
      <c r="E1848" s="22" t="str">
        <f t="shared" ca="1" si="57"/>
        <v>201602</v>
      </c>
      <c r="F1848" s="22">
        <v>2016</v>
      </c>
    </row>
    <row r="1849" spans="1:6" ht="15.75">
      <c r="A1849" s="22" t="s">
        <v>1441</v>
      </c>
      <c r="B1849" s="26">
        <v>42430</v>
      </c>
      <c r="C1849" s="27">
        <v>0.44</v>
      </c>
      <c r="D1849" s="25" t="str">
        <f t="shared" si="56"/>
        <v>201609</v>
      </c>
      <c r="E1849" s="22" t="str">
        <f t="shared" ca="1" si="57"/>
        <v>201603</v>
      </c>
      <c r="F1849" s="22">
        <v>2016</v>
      </c>
    </row>
    <row r="1850" spans="1:6" ht="15.75">
      <c r="A1850" s="22" t="s">
        <v>1441</v>
      </c>
      <c r="B1850" s="26">
        <v>42431</v>
      </c>
      <c r="C1850" s="27">
        <v>0</v>
      </c>
      <c r="D1850" s="25" t="str">
        <f t="shared" si="56"/>
        <v>201609</v>
      </c>
      <c r="E1850" s="22" t="str">
        <f t="shared" ca="1" si="57"/>
        <v>201603</v>
      </c>
      <c r="F1850" s="22">
        <v>2016</v>
      </c>
    </row>
    <row r="1851" spans="1:6" ht="15.75">
      <c r="A1851" s="22" t="s">
        <v>1441</v>
      </c>
      <c r="B1851" s="26">
        <v>42432</v>
      </c>
      <c r="C1851" s="27">
        <v>0</v>
      </c>
      <c r="D1851" s="25" t="str">
        <f t="shared" si="56"/>
        <v>201609</v>
      </c>
      <c r="E1851" s="22" t="str">
        <f t="shared" ca="1" si="57"/>
        <v>201603</v>
      </c>
      <c r="F1851" s="22">
        <v>2016</v>
      </c>
    </row>
    <row r="1852" spans="1:6" ht="15.75">
      <c r="A1852" s="22" t="s">
        <v>1441</v>
      </c>
      <c r="B1852" s="26">
        <v>42433</v>
      </c>
      <c r="C1852" s="27">
        <v>0</v>
      </c>
      <c r="D1852" s="25" t="str">
        <f t="shared" si="56"/>
        <v>201609</v>
      </c>
      <c r="E1852" s="22" t="str">
        <f t="shared" ca="1" si="57"/>
        <v>201603</v>
      </c>
      <c r="F1852" s="22">
        <v>2016</v>
      </c>
    </row>
    <row r="1853" spans="1:6" ht="15.75">
      <c r="A1853" s="22" t="s">
        <v>1441</v>
      </c>
      <c r="B1853" s="26">
        <v>42434</v>
      </c>
      <c r="C1853" s="27">
        <v>0</v>
      </c>
      <c r="D1853" s="25" t="str">
        <f t="shared" si="56"/>
        <v>201609</v>
      </c>
      <c r="E1853" s="22" t="str">
        <f t="shared" ca="1" si="57"/>
        <v>201603</v>
      </c>
      <c r="F1853" s="22">
        <v>2016</v>
      </c>
    </row>
    <row r="1854" spans="1:6" ht="15.75">
      <c r="A1854" s="22" t="s">
        <v>1441</v>
      </c>
      <c r="B1854" s="26">
        <v>42435</v>
      </c>
      <c r="C1854" s="27">
        <v>0</v>
      </c>
      <c r="D1854" s="25" t="str">
        <f t="shared" si="56"/>
        <v>201609</v>
      </c>
      <c r="E1854" s="22" t="str">
        <f t="shared" ca="1" si="57"/>
        <v>201603</v>
      </c>
      <c r="F1854" s="22">
        <v>2016</v>
      </c>
    </row>
    <row r="1855" spans="1:6" ht="15.75">
      <c r="A1855" s="22" t="s">
        <v>1441</v>
      </c>
      <c r="B1855" s="26">
        <v>42436</v>
      </c>
      <c r="C1855" s="27">
        <v>0</v>
      </c>
      <c r="D1855" s="25" t="str">
        <f t="shared" si="56"/>
        <v>201610</v>
      </c>
      <c r="E1855" s="22" t="str">
        <f t="shared" ca="1" si="57"/>
        <v>201603</v>
      </c>
      <c r="F1855" s="22">
        <v>2016</v>
      </c>
    </row>
    <row r="1856" spans="1:6" ht="15.75">
      <c r="A1856" s="22" t="s">
        <v>1441</v>
      </c>
      <c r="B1856" s="26">
        <v>42437</v>
      </c>
      <c r="C1856" s="27">
        <v>0</v>
      </c>
      <c r="D1856" s="25" t="str">
        <f t="shared" si="56"/>
        <v>201610</v>
      </c>
      <c r="E1856" s="22" t="str">
        <f t="shared" ca="1" si="57"/>
        <v>201603</v>
      </c>
      <c r="F1856" s="22">
        <v>2016</v>
      </c>
    </row>
    <row r="1857" spans="1:6" ht="15.75">
      <c r="A1857" s="22" t="s">
        <v>1441</v>
      </c>
      <c r="B1857" s="26">
        <v>42438</v>
      </c>
      <c r="C1857" s="27">
        <v>0</v>
      </c>
      <c r="D1857" s="25" t="str">
        <f t="shared" si="56"/>
        <v>201610</v>
      </c>
      <c r="E1857" s="22" t="str">
        <f t="shared" ca="1" si="57"/>
        <v>201603</v>
      </c>
      <c r="F1857" s="22">
        <v>2016</v>
      </c>
    </row>
    <row r="1858" spans="1:6" ht="15.75">
      <c r="A1858" s="22" t="s">
        <v>1441</v>
      </c>
      <c r="B1858" s="26">
        <v>42439</v>
      </c>
      <c r="C1858" s="27">
        <v>0</v>
      </c>
      <c r="D1858" s="25" t="str">
        <f t="shared" si="56"/>
        <v>201610</v>
      </c>
      <c r="E1858" s="22" t="str">
        <f t="shared" ca="1" si="57"/>
        <v>201603</v>
      </c>
      <c r="F1858" s="22">
        <v>2016</v>
      </c>
    </row>
    <row r="1859" spans="1:6" ht="15.75">
      <c r="A1859" s="22" t="s">
        <v>1441</v>
      </c>
      <c r="B1859" s="26">
        <v>42440</v>
      </c>
      <c r="C1859" s="27">
        <v>0</v>
      </c>
      <c r="D1859" s="25" t="str">
        <f t="shared" ref="D1859:D1922" si="58">CONCATENATE(YEAR(B1859-WEEKDAY(B1859,3)+3),TEXT(WEEKNUM(B1859,21),"00"))</f>
        <v>201610</v>
      </c>
      <c r="E1859" s="22" t="str">
        <f t="shared" ref="E1859:E1922" ca="1" si="59">IF(
  AND(
    YEAR(B1859)=YEAR(TODAY())-1,
    MONTH(B1859)=MONTH(TODAY()),
    DAY(B1859)&gt;DAY($H$2)
  ),
  0,
  CONCATENATE(YEAR(B1859),TEXT(MONTH(B1859),"00"))
)</f>
        <v>201603</v>
      </c>
      <c r="F1859" s="22">
        <v>2016</v>
      </c>
    </row>
    <row r="1860" spans="1:6" ht="15.75">
      <c r="A1860" s="22" t="s">
        <v>1441</v>
      </c>
      <c r="B1860" s="26">
        <v>42441</v>
      </c>
      <c r="C1860" s="27">
        <v>0</v>
      </c>
      <c r="D1860" s="25" t="str">
        <f t="shared" si="58"/>
        <v>201610</v>
      </c>
      <c r="E1860" s="22" t="str">
        <f t="shared" ca="1" si="59"/>
        <v>201603</v>
      </c>
      <c r="F1860" s="22">
        <v>2016</v>
      </c>
    </row>
    <row r="1861" spans="1:6" ht="15.75">
      <c r="A1861" s="22" t="s">
        <v>1441</v>
      </c>
      <c r="B1861" s="26">
        <v>42442</v>
      </c>
      <c r="C1861" s="27">
        <v>0</v>
      </c>
      <c r="D1861" s="25" t="str">
        <f t="shared" si="58"/>
        <v>201610</v>
      </c>
      <c r="E1861" s="22" t="str">
        <f t="shared" ca="1" si="59"/>
        <v>201603</v>
      </c>
      <c r="F1861" s="22">
        <v>2016</v>
      </c>
    </row>
    <row r="1862" spans="1:6" ht="15.75">
      <c r="A1862" s="22" t="s">
        <v>1441</v>
      </c>
      <c r="B1862" s="26">
        <v>42443</v>
      </c>
      <c r="C1862" s="27">
        <v>0</v>
      </c>
      <c r="D1862" s="25" t="str">
        <f t="shared" si="58"/>
        <v>201611</v>
      </c>
      <c r="E1862" s="22" t="str">
        <f t="shared" ca="1" si="59"/>
        <v>201603</v>
      </c>
      <c r="F1862" s="22">
        <v>2016</v>
      </c>
    </row>
    <row r="1863" spans="1:6" ht="15.75">
      <c r="A1863" s="22" t="s">
        <v>1441</v>
      </c>
      <c r="B1863" s="26">
        <v>42444</v>
      </c>
      <c r="C1863" s="27">
        <v>0</v>
      </c>
      <c r="D1863" s="25" t="str">
        <f t="shared" si="58"/>
        <v>201611</v>
      </c>
      <c r="E1863" s="22" t="str">
        <f t="shared" ca="1" si="59"/>
        <v>201603</v>
      </c>
      <c r="F1863" s="22">
        <v>2016</v>
      </c>
    </row>
    <row r="1864" spans="1:6" ht="15.75">
      <c r="A1864" s="22" t="s">
        <v>1441</v>
      </c>
      <c r="B1864" s="26">
        <v>42445</v>
      </c>
      <c r="C1864" s="27">
        <v>0</v>
      </c>
      <c r="D1864" s="25" t="str">
        <f t="shared" si="58"/>
        <v>201611</v>
      </c>
      <c r="E1864" s="22" t="str">
        <f t="shared" ca="1" si="59"/>
        <v>201603</v>
      </c>
      <c r="F1864" s="22">
        <v>2016</v>
      </c>
    </row>
    <row r="1865" spans="1:6" ht="15.75">
      <c r="A1865" s="22" t="s">
        <v>1441</v>
      </c>
      <c r="B1865" s="26">
        <v>42446</v>
      </c>
      <c r="C1865" s="27">
        <v>0</v>
      </c>
      <c r="D1865" s="25" t="str">
        <f t="shared" si="58"/>
        <v>201611</v>
      </c>
      <c r="E1865" s="22" t="str">
        <f t="shared" ca="1" si="59"/>
        <v>201603</v>
      </c>
      <c r="F1865" s="22">
        <v>2016</v>
      </c>
    </row>
    <row r="1866" spans="1:6" ht="15.75">
      <c r="A1866" s="22" t="s">
        <v>1441</v>
      </c>
      <c r="B1866" s="26">
        <v>42447</v>
      </c>
      <c r="C1866" s="27">
        <v>0</v>
      </c>
      <c r="D1866" s="25" t="str">
        <f t="shared" si="58"/>
        <v>201611</v>
      </c>
      <c r="E1866" s="22" t="str">
        <f t="shared" ca="1" si="59"/>
        <v>201603</v>
      </c>
      <c r="F1866" s="22">
        <v>2016</v>
      </c>
    </row>
    <row r="1867" spans="1:6" ht="15.75">
      <c r="A1867" s="22" t="s">
        <v>1441</v>
      </c>
      <c r="B1867" s="26">
        <v>42448</v>
      </c>
      <c r="C1867" s="27">
        <v>0</v>
      </c>
      <c r="D1867" s="25" t="str">
        <f t="shared" si="58"/>
        <v>201611</v>
      </c>
      <c r="E1867" s="22" t="str">
        <f t="shared" ca="1" si="59"/>
        <v>201603</v>
      </c>
      <c r="F1867" s="22">
        <v>2016</v>
      </c>
    </row>
    <row r="1868" spans="1:6" ht="15.75">
      <c r="A1868" s="22" t="s">
        <v>1441</v>
      </c>
      <c r="B1868" s="26">
        <v>42449</v>
      </c>
      <c r="C1868" s="27">
        <v>0</v>
      </c>
      <c r="D1868" s="25" t="str">
        <f t="shared" si="58"/>
        <v>201611</v>
      </c>
      <c r="E1868" s="22" t="str">
        <f t="shared" ca="1" si="59"/>
        <v>201603</v>
      </c>
      <c r="F1868" s="22">
        <v>2016</v>
      </c>
    </row>
    <row r="1869" spans="1:6" ht="15.75">
      <c r="A1869" s="22" t="s">
        <v>1441</v>
      </c>
      <c r="B1869" s="26">
        <v>42450</v>
      </c>
      <c r="C1869" s="27">
        <v>0</v>
      </c>
      <c r="D1869" s="25" t="str">
        <f t="shared" si="58"/>
        <v>201612</v>
      </c>
      <c r="E1869" s="22" t="str">
        <f t="shared" ca="1" si="59"/>
        <v>201603</v>
      </c>
      <c r="F1869" s="22">
        <v>2016</v>
      </c>
    </row>
    <row r="1870" spans="1:6" ht="15.75">
      <c r="A1870" s="22" t="s">
        <v>1441</v>
      </c>
      <c r="B1870" s="26">
        <v>42451</v>
      </c>
      <c r="C1870" s="27">
        <v>0</v>
      </c>
      <c r="D1870" s="25" t="str">
        <f t="shared" si="58"/>
        <v>201612</v>
      </c>
      <c r="E1870" s="22" t="str">
        <f t="shared" ca="1" si="59"/>
        <v>201603</v>
      </c>
      <c r="F1870" s="22">
        <v>2016</v>
      </c>
    </row>
    <row r="1871" spans="1:6" ht="15.75">
      <c r="A1871" s="22" t="s">
        <v>1441</v>
      </c>
      <c r="B1871" s="26">
        <v>42452</v>
      </c>
      <c r="C1871" s="27">
        <v>0</v>
      </c>
      <c r="D1871" s="25" t="str">
        <f t="shared" si="58"/>
        <v>201612</v>
      </c>
      <c r="E1871" s="22" t="str">
        <f t="shared" ca="1" si="59"/>
        <v>201603</v>
      </c>
      <c r="F1871" s="22">
        <v>2016</v>
      </c>
    </row>
    <row r="1872" spans="1:6" ht="15.75">
      <c r="A1872" s="22" t="s">
        <v>1441</v>
      </c>
      <c r="B1872" s="26">
        <v>42453</v>
      </c>
      <c r="C1872" s="27">
        <v>0</v>
      </c>
      <c r="D1872" s="25" t="str">
        <f t="shared" si="58"/>
        <v>201612</v>
      </c>
      <c r="E1872" s="22" t="str">
        <f t="shared" ca="1" si="59"/>
        <v>201603</v>
      </c>
      <c r="F1872" s="22">
        <v>2016</v>
      </c>
    </row>
    <row r="1873" spans="1:6" ht="15.75">
      <c r="A1873" s="22" t="s">
        <v>1441</v>
      </c>
      <c r="B1873" s="26">
        <v>42454</v>
      </c>
      <c r="C1873" s="27">
        <v>0</v>
      </c>
      <c r="D1873" s="25" t="str">
        <f t="shared" si="58"/>
        <v>201612</v>
      </c>
      <c r="E1873" s="22" t="str">
        <f t="shared" ca="1" si="59"/>
        <v>201603</v>
      </c>
      <c r="F1873" s="22">
        <v>2016</v>
      </c>
    </row>
    <row r="1874" spans="1:6" ht="15.75">
      <c r="A1874" s="22" t="s">
        <v>1441</v>
      </c>
      <c r="B1874" s="26">
        <v>42455</v>
      </c>
      <c r="C1874" s="27">
        <v>0</v>
      </c>
      <c r="D1874" s="25" t="str">
        <f t="shared" si="58"/>
        <v>201612</v>
      </c>
      <c r="E1874" s="22" t="str">
        <f t="shared" ca="1" si="59"/>
        <v>201603</v>
      </c>
      <c r="F1874" s="22">
        <v>2016</v>
      </c>
    </row>
    <row r="1875" spans="1:6" ht="15.75">
      <c r="A1875" s="22" t="s">
        <v>1441</v>
      </c>
      <c r="B1875" s="26">
        <v>42456</v>
      </c>
      <c r="C1875" s="27">
        <v>0</v>
      </c>
      <c r="D1875" s="25" t="str">
        <f t="shared" si="58"/>
        <v>201612</v>
      </c>
      <c r="E1875" s="22" t="str">
        <f t="shared" ca="1" si="59"/>
        <v>201603</v>
      </c>
      <c r="F1875" s="22">
        <v>2016</v>
      </c>
    </row>
    <row r="1876" spans="1:6" ht="15.75">
      <c r="A1876" s="22" t="s">
        <v>1441</v>
      </c>
      <c r="B1876" s="26">
        <v>42457</v>
      </c>
      <c r="C1876" s="27">
        <v>0</v>
      </c>
      <c r="D1876" s="25" t="str">
        <f t="shared" si="58"/>
        <v>201613</v>
      </c>
      <c r="E1876" s="22" t="str">
        <f t="shared" ca="1" si="59"/>
        <v>201603</v>
      </c>
      <c r="F1876" s="22">
        <v>2016</v>
      </c>
    </row>
    <row r="1877" spans="1:6" ht="15.75">
      <c r="A1877" s="22" t="s">
        <v>1441</v>
      </c>
      <c r="B1877" s="26">
        <v>42458</v>
      </c>
      <c r="C1877" s="27">
        <v>0</v>
      </c>
      <c r="D1877" s="25" t="str">
        <f t="shared" si="58"/>
        <v>201613</v>
      </c>
      <c r="E1877" s="22" t="str">
        <f t="shared" ca="1" si="59"/>
        <v>201603</v>
      </c>
      <c r="F1877" s="22">
        <v>2016</v>
      </c>
    </row>
    <row r="1878" spans="1:6" ht="15.75">
      <c r="A1878" s="22" t="s">
        <v>1441</v>
      </c>
      <c r="B1878" s="26">
        <v>42459</v>
      </c>
      <c r="C1878" s="27">
        <v>0</v>
      </c>
      <c r="D1878" s="25" t="str">
        <f t="shared" si="58"/>
        <v>201613</v>
      </c>
      <c r="E1878" s="22" t="str">
        <f t="shared" ca="1" si="59"/>
        <v>201603</v>
      </c>
      <c r="F1878" s="22">
        <v>2016</v>
      </c>
    </row>
    <row r="1879" spans="1:6" ht="15.75">
      <c r="A1879" s="22" t="s">
        <v>1441</v>
      </c>
      <c r="B1879" s="26">
        <v>42460</v>
      </c>
      <c r="C1879" s="27">
        <v>0</v>
      </c>
      <c r="D1879" s="25" t="str">
        <f t="shared" si="58"/>
        <v>201613</v>
      </c>
      <c r="E1879" s="22" t="str">
        <f t="shared" ca="1" si="59"/>
        <v>201603</v>
      </c>
      <c r="F1879" s="22">
        <v>2016</v>
      </c>
    </row>
    <row r="1880" spans="1:6" ht="15.75">
      <c r="A1880" s="22" t="s">
        <v>1441</v>
      </c>
      <c r="B1880" s="26">
        <v>42461</v>
      </c>
      <c r="C1880" s="27">
        <v>0</v>
      </c>
      <c r="D1880" s="25" t="str">
        <f t="shared" si="58"/>
        <v>201613</v>
      </c>
      <c r="E1880" s="22" t="str">
        <f t="shared" ca="1" si="59"/>
        <v>201604</v>
      </c>
      <c r="F1880" s="22">
        <v>2016</v>
      </c>
    </row>
    <row r="1881" spans="1:6" ht="15.75">
      <c r="A1881" s="22" t="s">
        <v>1441</v>
      </c>
      <c r="B1881" s="26">
        <v>42462</v>
      </c>
      <c r="C1881" s="27">
        <v>0</v>
      </c>
      <c r="D1881" s="25" t="str">
        <f t="shared" si="58"/>
        <v>201613</v>
      </c>
      <c r="E1881" s="22" t="str">
        <f t="shared" ca="1" si="59"/>
        <v>201604</v>
      </c>
      <c r="F1881" s="22">
        <v>2016</v>
      </c>
    </row>
    <row r="1882" spans="1:6" ht="15.75">
      <c r="A1882" s="22" t="s">
        <v>1441</v>
      </c>
      <c r="B1882" s="26">
        <v>42463</v>
      </c>
      <c r="C1882" s="27">
        <v>0</v>
      </c>
      <c r="D1882" s="25" t="str">
        <f t="shared" si="58"/>
        <v>201613</v>
      </c>
      <c r="E1882" s="22" t="str">
        <f t="shared" ca="1" si="59"/>
        <v>201604</v>
      </c>
      <c r="F1882" s="22">
        <v>2016</v>
      </c>
    </row>
    <row r="1883" spans="1:6" ht="15.75">
      <c r="A1883" s="22" t="s">
        <v>1441</v>
      </c>
      <c r="B1883" s="26">
        <v>42464</v>
      </c>
      <c r="C1883" s="27">
        <v>0</v>
      </c>
      <c r="D1883" s="25" t="str">
        <f t="shared" si="58"/>
        <v>201614</v>
      </c>
      <c r="E1883" s="22" t="str">
        <f t="shared" ca="1" si="59"/>
        <v>201604</v>
      </c>
      <c r="F1883" s="22">
        <v>2016</v>
      </c>
    </row>
    <row r="1884" spans="1:6" ht="15.75">
      <c r="A1884" s="22" t="s">
        <v>1441</v>
      </c>
      <c r="B1884" s="26">
        <v>42465</v>
      </c>
      <c r="C1884" s="27">
        <v>0</v>
      </c>
      <c r="D1884" s="25" t="str">
        <f t="shared" si="58"/>
        <v>201614</v>
      </c>
      <c r="E1884" s="22" t="str">
        <f t="shared" ca="1" si="59"/>
        <v>201604</v>
      </c>
      <c r="F1884" s="22">
        <v>2016</v>
      </c>
    </row>
    <row r="1885" spans="1:6" ht="15.75">
      <c r="A1885" s="22" t="s">
        <v>1441</v>
      </c>
      <c r="B1885" s="26">
        <v>42466</v>
      </c>
      <c r="C1885" s="27">
        <v>0</v>
      </c>
      <c r="D1885" s="25" t="str">
        <f t="shared" si="58"/>
        <v>201614</v>
      </c>
      <c r="E1885" s="22" t="str">
        <f t="shared" ca="1" si="59"/>
        <v>201604</v>
      </c>
      <c r="F1885" s="22">
        <v>2016</v>
      </c>
    </row>
    <row r="1886" spans="1:6" ht="15.75">
      <c r="A1886" s="22" t="s">
        <v>1441</v>
      </c>
      <c r="B1886" s="26">
        <v>42467</v>
      </c>
      <c r="C1886" s="27">
        <v>0</v>
      </c>
      <c r="D1886" s="25" t="str">
        <f t="shared" si="58"/>
        <v>201614</v>
      </c>
      <c r="E1886" s="22" t="str">
        <f t="shared" ca="1" si="59"/>
        <v>201604</v>
      </c>
      <c r="F1886" s="22">
        <v>2016</v>
      </c>
    </row>
    <row r="1887" spans="1:6" ht="15.75">
      <c r="A1887" s="22" t="s">
        <v>1441</v>
      </c>
      <c r="B1887" s="26">
        <v>42468</v>
      </c>
      <c r="C1887" s="27">
        <v>0</v>
      </c>
      <c r="D1887" s="25" t="str">
        <f t="shared" si="58"/>
        <v>201614</v>
      </c>
      <c r="E1887" s="22" t="str">
        <f t="shared" ca="1" si="59"/>
        <v>201604</v>
      </c>
      <c r="F1887" s="22">
        <v>2016</v>
      </c>
    </row>
    <row r="1888" spans="1:6" ht="15.75">
      <c r="A1888" s="22" t="s">
        <v>1441</v>
      </c>
      <c r="B1888" s="26">
        <v>42469</v>
      </c>
      <c r="C1888" s="27">
        <v>0</v>
      </c>
      <c r="D1888" s="25" t="str">
        <f t="shared" si="58"/>
        <v>201614</v>
      </c>
      <c r="E1888" s="22" t="str">
        <f t="shared" ca="1" si="59"/>
        <v>201604</v>
      </c>
      <c r="F1888" s="22">
        <v>2016</v>
      </c>
    </row>
    <row r="1889" spans="1:6" ht="15.75">
      <c r="A1889" s="22" t="s">
        <v>1441</v>
      </c>
      <c r="B1889" s="26">
        <v>42470</v>
      </c>
      <c r="C1889" s="27">
        <v>0</v>
      </c>
      <c r="D1889" s="25" t="str">
        <f t="shared" si="58"/>
        <v>201614</v>
      </c>
      <c r="E1889" s="22" t="str">
        <f t="shared" ca="1" si="59"/>
        <v>201604</v>
      </c>
      <c r="F1889" s="22">
        <v>2016</v>
      </c>
    </row>
    <row r="1890" spans="1:6" ht="15.75">
      <c r="A1890" s="22" t="s">
        <v>1441</v>
      </c>
      <c r="B1890" s="26">
        <v>42471</v>
      </c>
      <c r="C1890" s="27">
        <v>0</v>
      </c>
      <c r="D1890" s="25" t="str">
        <f t="shared" si="58"/>
        <v>201615</v>
      </c>
      <c r="E1890" s="22" t="str">
        <f t="shared" ca="1" si="59"/>
        <v>201604</v>
      </c>
      <c r="F1890" s="22">
        <v>2016</v>
      </c>
    </row>
    <row r="1891" spans="1:6" ht="15.75">
      <c r="A1891" s="22" t="s">
        <v>1441</v>
      </c>
      <c r="B1891" s="26">
        <v>42472</v>
      </c>
      <c r="C1891" s="27">
        <v>0</v>
      </c>
      <c r="D1891" s="25" t="str">
        <f t="shared" si="58"/>
        <v>201615</v>
      </c>
      <c r="E1891" s="22" t="str">
        <f t="shared" ca="1" si="59"/>
        <v>201604</v>
      </c>
      <c r="F1891" s="22">
        <v>2016</v>
      </c>
    </row>
    <row r="1892" spans="1:6" ht="15.75">
      <c r="A1892" s="22" t="s">
        <v>1441</v>
      </c>
      <c r="B1892" s="26">
        <v>42473</v>
      </c>
      <c r="C1892" s="27">
        <v>0</v>
      </c>
      <c r="D1892" s="25" t="str">
        <f t="shared" si="58"/>
        <v>201615</v>
      </c>
      <c r="E1892" s="22" t="str">
        <f t="shared" ca="1" si="59"/>
        <v>201604</v>
      </c>
      <c r="F1892" s="22">
        <v>2016</v>
      </c>
    </row>
    <row r="1893" spans="1:6" ht="15.75">
      <c r="A1893" s="22" t="s">
        <v>1441</v>
      </c>
      <c r="B1893" s="26">
        <v>42474</v>
      </c>
      <c r="C1893" s="27">
        <v>0</v>
      </c>
      <c r="D1893" s="25" t="str">
        <f t="shared" si="58"/>
        <v>201615</v>
      </c>
      <c r="E1893" s="22" t="str">
        <f t="shared" ca="1" si="59"/>
        <v>201604</v>
      </c>
      <c r="F1893" s="22">
        <v>2016</v>
      </c>
    </row>
    <row r="1894" spans="1:6" ht="15.75">
      <c r="A1894" s="22" t="s">
        <v>1441</v>
      </c>
      <c r="B1894" s="26">
        <v>42475</v>
      </c>
      <c r="C1894" s="27">
        <v>0</v>
      </c>
      <c r="D1894" s="25" t="str">
        <f t="shared" si="58"/>
        <v>201615</v>
      </c>
      <c r="E1894" s="22" t="str">
        <f t="shared" ca="1" si="59"/>
        <v>201604</v>
      </c>
      <c r="F1894" s="22">
        <v>2016</v>
      </c>
    </row>
    <row r="1895" spans="1:6" ht="15.75">
      <c r="A1895" s="22" t="s">
        <v>1441</v>
      </c>
      <c r="B1895" s="26">
        <v>42476</v>
      </c>
      <c r="C1895" s="27">
        <v>0</v>
      </c>
      <c r="D1895" s="25" t="str">
        <f t="shared" si="58"/>
        <v>201615</v>
      </c>
      <c r="E1895" s="22" t="str">
        <f t="shared" ca="1" si="59"/>
        <v>201604</v>
      </c>
      <c r="F1895" s="22">
        <v>2016</v>
      </c>
    </row>
    <row r="1896" spans="1:6" ht="15.75">
      <c r="A1896" s="22" t="s">
        <v>1441</v>
      </c>
      <c r="B1896" s="26">
        <v>42477</v>
      </c>
      <c r="C1896" s="27">
        <v>0</v>
      </c>
      <c r="D1896" s="25" t="str">
        <f t="shared" si="58"/>
        <v>201615</v>
      </c>
      <c r="E1896" s="22" t="str">
        <f t="shared" ca="1" si="59"/>
        <v>201604</v>
      </c>
      <c r="F1896" s="22">
        <v>2016</v>
      </c>
    </row>
    <row r="1897" spans="1:6" ht="15.75">
      <c r="A1897" s="22" t="s">
        <v>1441</v>
      </c>
      <c r="B1897" s="26">
        <v>42478</v>
      </c>
      <c r="C1897" s="27">
        <v>0</v>
      </c>
      <c r="D1897" s="25" t="str">
        <f t="shared" si="58"/>
        <v>201616</v>
      </c>
      <c r="E1897" s="22" t="str">
        <f t="shared" ca="1" si="59"/>
        <v>201604</v>
      </c>
      <c r="F1897" s="22">
        <v>2016</v>
      </c>
    </row>
    <row r="1898" spans="1:6" ht="15.75">
      <c r="A1898" s="22" t="s">
        <v>1441</v>
      </c>
      <c r="B1898" s="26">
        <v>42479</v>
      </c>
      <c r="C1898" s="27">
        <v>0</v>
      </c>
      <c r="D1898" s="25" t="str">
        <f t="shared" si="58"/>
        <v>201616</v>
      </c>
      <c r="E1898" s="22" t="str">
        <f t="shared" ca="1" si="59"/>
        <v>201604</v>
      </c>
      <c r="F1898" s="22">
        <v>2016</v>
      </c>
    </row>
    <row r="1899" spans="1:6" ht="15.75">
      <c r="A1899" s="22" t="s">
        <v>1441</v>
      </c>
      <c r="B1899" s="26">
        <v>42480</v>
      </c>
      <c r="C1899" s="27">
        <v>0</v>
      </c>
      <c r="D1899" s="25" t="str">
        <f t="shared" si="58"/>
        <v>201616</v>
      </c>
      <c r="E1899" s="22" t="str">
        <f t="shared" ca="1" si="59"/>
        <v>201604</v>
      </c>
      <c r="F1899" s="22">
        <v>2016</v>
      </c>
    </row>
    <row r="1900" spans="1:6" ht="15.75">
      <c r="A1900" s="22" t="s">
        <v>1441</v>
      </c>
      <c r="B1900" s="26">
        <v>42481</v>
      </c>
      <c r="C1900" s="27">
        <v>0</v>
      </c>
      <c r="D1900" s="25" t="str">
        <f t="shared" si="58"/>
        <v>201616</v>
      </c>
      <c r="E1900" s="22" t="str">
        <f t="shared" ca="1" si="59"/>
        <v>201604</v>
      </c>
      <c r="F1900" s="22">
        <v>2016</v>
      </c>
    </row>
    <row r="1901" spans="1:6" ht="15.75">
      <c r="A1901" s="22" t="s">
        <v>1441</v>
      </c>
      <c r="B1901" s="26">
        <v>42482</v>
      </c>
      <c r="C1901" s="27">
        <v>0</v>
      </c>
      <c r="D1901" s="25" t="str">
        <f t="shared" si="58"/>
        <v>201616</v>
      </c>
      <c r="E1901" s="22" t="str">
        <f t="shared" ca="1" si="59"/>
        <v>201604</v>
      </c>
      <c r="F1901" s="22">
        <v>2016</v>
      </c>
    </row>
    <row r="1902" spans="1:6" ht="15.75">
      <c r="A1902" s="22" t="s">
        <v>1441</v>
      </c>
      <c r="B1902" s="26">
        <v>42483</v>
      </c>
      <c r="C1902" s="27">
        <v>0</v>
      </c>
      <c r="D1902" s="25" t="str">
        <f t="shared" si="58"/>
        <v>201616</v>
      </c>
      <c r="E1902" s="22" t="str">
        <f t="shared" ca="1" si="59"/>
        <v>201604</v>
      </c>
      <c r="F1902" s="22">
        <v>2016</v>
      </c>
    </row>
    <row r="1903" spans="1:6" ht="15.75">
      <c r="A1903" s="22" t="s">
        <v>1441</v>
      </c>
      <c r="B1903" s="26">
        <v>42484</v>
      </c>
      <c r="C1903" s="27">
        <v>0</v>
      </c>
      <c r="D1903" s="25" t="str">
        <f t="shared" si="58"/>
        <v>201616</v>
      </c>
      <c r="E1903" s="22" t="str">
        <f t="shared" ca="1" si="59"/>
        <v>201604</v>
      </c>
      <c r="F1903" s="22">
        <v>2016</v>
      </c>
    </row>
    <row r="1904" spans="1:6" ht="15.75">
      <c r="A1904" s="22" t="s">
        <v>1441</v>
      </c>
      <c r="B1904" s="26">
        <v>42485</v>
      </c>
      <c r="C1904" s="27">
        <v>0</v>
      </c>
      <c r="D1904" s="25" t="str">
        <f t="shared" si="58"/>
        <v>201617</v>
      </c>
      <c r="E1904" s="22" t="str">
        <f t="shared" ca="1" si="59"/>
        <v>201604</v>
      </c>
      <c r="F1904" s="22">
        <v>2016</v>
      </c>
    </row>
    <row r="1905" spans="1:6" ht="15.75">
      <c r="A1905" s="22" t="s">
        <v>1441</v>
      </c>
      <c r="B1905" s="26">
        <v>42486</v>
      </c>
      <c r="C1905" s="27">
        <v>0</v>
      </c>
      <c r="D1905" s="25" t="str">
        <f t="shared" si="58"/>
        <v>201617</v>
      </c>
      <c r="E1905" s="22" t="str">
        <f t="shared" ca="1" si="59"/>
        <v>201604</v>
      </c>
      <c r="F1905" s="22">
        <v>2016</v>
      </c>
    </row>
    <row r="1906" spans="1:6" ht="15.75">
      <c r="A1906" s="22" t="s">
        <v>1441</v>
      </c>
      <c r="B1906" s="26">
        <v>42487</v>
      </c>
      <c r="C1906" s="27">
        <v>0</v>
      </c>
      <c r="D1906" s="25" t="str">
        <f t="shared" si="58"/>
        <v>201617</v>
      </c>
      <c r="E1906" s="22" t="str">
        <f t="shared" ca="1" si="59"/>
        <v>201604</v>
      </c>
      <c r="F1906" s="22">
        <v>2016</v>
      </c>
    </row>
    <row r="1907" spans="1:6" ht="15.75">
      <c r="A1907" s="22" t="s">
        <v>1441</v>
      </c>
      <c r="B1907" s="26">
        <v>42488</v>
      </c>
      <c r="C1907" s="27">
        <v>0</v>
      </c>
      <c r="D1907" s="25" t="str">
        <f t="shared" si="58"/>
        <v>201617</v>
      </c>
      <c r="E1907" s="22" t="str">
        <f t="shared" ca="1" si="59"/>
        <v>201604</v>
      </c>
      <c r="F1907" s="22">
        <v>2016</v>
      </c>
    </row>
    <row r="1908" spans="1:6" ht="15.75">
      <c r="A1908" s="22" t="s">
        <v>1441</v>
      </c>
      <c r="B1908" s="26">
        <v>42489</v>
      </c>
      <c r="C1908" s="27">
        <v>0</v>
      </c>
      <c r="D1908" s="25" t="str">
        <f t="shared" si="58"/>
        <v>201617</v>
      </c>
      <c r="E1908" s="22" t="str">
        <f t="shared" ca="1" si="59"/>
        <v>201604</v>
      </c>
      <c r="F1908" s="22">
        <v>2016</v>
      </c>
    </row>
    <row r="1909" spans="1:6" ht="15.75">
      <c r="A1909" s="22" t="s">
        <v>1441</v>
      </c>
      <c r="B1909" s="26">
        <v>42490</v>
      </c>
      <c r="C1909" s="27">
        <v>0</v>
      </c>
      <c r="D1909" s="25" t="str">
        <f t="shared" si="58"/>
        <v>201617</v>
      </c>
      <c r="E1909" s="22" t="str">
        <f t="shared" ca="1" si="59"/>
        <v>201604</v>
      </c>
      <c r="F1909" s="22">
        <v>2016</v>
      </c>
    </row>
    <row r="1910" spans="1:6" ht="15.75">
      <c r="A1910" s="22" t="s">
        <v>1441</v>
      </c>
      <c r="B1910" s="26">
        <v>42491</v>
      </c>
      <c r="C1910" s="27">
        <v>0</v>
      </c>
      <c r="D1910" s="25" t="str">
        <f t="shared" si="58"/>
        <v>201617</v>
      </c>
      <c r="E1910" s="22" t="str">
        <f t="shared" ca="1" si="59"/>
        <v>201605</v>
      </c>
      <c r="F1910" s="22">
        <v>2016</v>
      </c>
    </row>
    <row r="1911" spans="1:6" ht="15.75">
      <c r="A1911" s="22" t="s">
        <v>1441</v>
      </c>
      <c r="B1911" s="26">
        <v>42492</v>
      </c>
      <c r="C1911" s="27">
        <v>0</v>
      </c>
      <c r="D1911" s="25" t="str">
        <f t="shared" si="58"/>
        <v>201618</v>
      </c>
      <c r="E1911" s="22" t="str">
        <f t="shared" ca="1" si="59"/>
        <v>201605</v>
      </c>
      <c r="F1911" s="22">
        <v>2016</v>
      </c>
    </row>
    <row r="1912" spans="1:6" ht="15.75">
      <c r="A1912" s="22" t="s">
        <v>1441</v>
      </c>
      <c r="B1912" s="26">
        <v>42493</v>
      </c>
      <c r="C1912" s="27">
        <v>0</v>
      </c>
      <c r="D1912" s="25" t="str">
        <f t="shared" si="58"/>
        <v>201618</v>
      </c>
      <c r="E1912" s="22" t="str">
        <f t="shared" ca="1" si="59"/>
        <v>201605</v>
      </c>
      <c r="F1912" s="22">
        <v>2016</v>
      </c>
    </row>
    <row r="1913" spans="1:6" ht="15.75">
      <c r="A1913" s="22" t="s">
        <v>1441</v>
      </c>
      <c r="B1913" s="26">
        <v>42494</v>
      </c>
      <c r="C1913" s="27">
        <v>0</v>
      </c>
      <c r="D1913" s="25" t="str">
        <f t="shared" si="58"/>
        <v>201618</v>
      </c>
      <c r="E1913" s="22" t="str">
        <f t="shared" ca="1" si="59"/>
        <v>201605</v>
      </c>
      <c r="F1913" s="22">
        <v>2016</v>
      </c>
    </row>
    <row r="1914" spans="1:6" ht="15.75">
      <c r="A1914" s="22" t="s">
        <v>1441</v>
      </c>
      <c r="B1914" s="26">
        <v>42495</v>
      </c>
      <c r="C1914" s="27">
        <v>0</v>
      </c>
      <c r="D1914" s="25" t="str">
        <f t="shared" si="58"/>
        <v>201618</v>
      </c>
      <c r="E1914" s="22" t="str">
        <f t="shared" ca="1" si="59"/>
        <v>201605</v>
      </c>
      <c r="F1914" s="22">
        <v>2016</v>
      </c>
    </row>
    <row r="1915" spans="1:6" ht="15.75">
      <c r="A1915" s="22" t="s">
        <v>1441</v>
      </c>
      <c r="B1915" s="26">
        <v>42496</v>
      </c>
      <c r="C1915" s="27">
        <v>0</v>
      </c>
      <c r="D1915" s="25" t="str">
        <f t="shared" si="58"/>
        <v>201618</v>
      </c>
      <c r="E1915" s="22" t="str">
        <f t="shared" ca="1" si="59"/>
        <v>201605</v>
      </c>
      <c r="F1915" s="22">
        <v>2016</v>
      </c>
    </row>
    <row r="1916" spans="1:6" ht="15.75">
      <c r="A1916" s="22" t="s">
        <v>1441</v>
      </c>
      <c r="B1916" s="26">
        <v>42497</v>
      </c>
      <c r="C1916" s="27">
        <v>0</v>
      </c>
      <c r="D1916" s="25" t="str">
        <f t="shared" si="58"/>
        <v>201618</v>
      </c>
      <c r="E1916" s="22" t="str">
        <f t="shared" ca="1" si="59"/>
        <v>201605</v>
      </c>
      <c r="F1916" s="22">
        <v>2016</v>
      </c>
    </row>
    <row r="1917" spans="1:6" ht="15.75">
      <c r="A1917" s="22" t="s">
        <v>1441</v>
      </c>
      <c r="B1917" s="26">
        <v>42498</v>
      </c>
      <c r="C1917" s="27">
        <v>0</v>
      </c>
      <c r="D1917" s="25" t="str">
        <f t="shared" si="58"/>
        <v>201618</v>
      </c>
      <c r="E1917" s="22" t="str">
        <f t="shared" ca="1" si="59"/>
        <v>201605</v>
      </c>
      <c r="F1917" s="22">
        <v>2016</v>
      </c>
    </row>
    <row r="1918" spans="1:6" ht="15.75">
      <c r="A1918" s="22" t="s">
        <v>1441</v>
      </c>
      <c r="B1918" s="26">
        <v>42499</v>
      </c>
      <c r="C1918" s="27">
        <v>0</v>
      </c>
      <c r="D1918" s="25" t="str">
        <f t="shared" si="58"/>
        <v>201619</v>
      </c>
      <c r="E1918" s="22" t="str">
        <f t="shared" ca="1" si="59"/>
        <v>201605</v>
      </c>
      <c r="F1918" s="22">
        <v>2016</v>
      </c>
    </row>
    <row r="1919" spans="1:6" ht="15.75">
      <c r="A1919" s="22" t="s">
        <v>1441</v>
      </c>
      <c r="B1919" s="26">
        <v>42500</v>
      </c>
      <c r="C1919" s="27">
        <v>0</v>
      </c>
      <c r="D1919" s="25" t="str">
        <f t="shared" si="58"/>
        <v>201619</v>
      </c>
      <c r="E1919" s="22" t="str">
        <f t="shared" ca="1" si="59"/>
        <v>201605</v>
      </c>
      <c r="F1919" s="22">
        <v>2016</v>
      </c>
    </row>
    <row r="1920" spans="1:6" ht="15.75">
      <c r="A1920" s="22" t="s">
        <v>1441</v>
      </c>
      <c r="B1920" s="26">
        <v>42501</v>
      </c>
      <c r="C1920" s="27">
        <v>0</v>
      </c>
      <c r="D1920" s="25" t="str">
        <f t="shared" si="58"/>
        <v>201619</v>
      </c>
      <c r="E1920" s="22" t="str">
        <f t="shared" ca="1" si="59"/>
        <v>201605</v>
      </c>
      <c r="F1920" s="22">
        <v>2016</v>
      </c>
    </row>
    <row r="1921" spans="1:6" ht="15.75">
      <c r="A1921" s="22" t="s">
        <v>1441</v>
      </c>
      <c r="B1921" s="26">
        <v>42502</v>
      </c>
      <c r="C1921" s="27">
        <v>0</v>
      </c>
      <c r="D1921" s="25" t="str">
        <f t="shared" si="58"/>
        <v>201619</v>
      </c>
      <c r="E1921" s="22" t="str">
        <f t="shared" ca="1" si="59"/>
        <v>201605</v>
      </c>
      <c r="F1921" s="22">
        <v>2016</v>
      </c>
    </row>
    <row r="1922" spans="1:6" ht="15.75">
      <c r="A1922" s="22" t="s">
        <v>1441</v>
      </c>
      <c r="B1922" s="26">
        <v>42503</v>
      </c>
      <c r="C1922" s="27">
        <v>0</v>
      </c>
      <c r="D1922" s="25" t="str">
        <f t="shared" si="58"/>
        <v>201619</v>
      </c>
      <c r="E1922" s="22" t="str">
        <f t="shared" ca="1" si="59"/>
        <v>201605</v>
      </c>
      <c r="F1922" s="22">
        <v>2016</v>
      </c>
    </row>
    <row r="1923" spans="1:6" ht="15.75">
      <c r="A1923" s="22" t="s">
        <v>1441</v>
      </c>
      <c r="B1923" s="26">
        <v>42504</v>
      </c>
      <c r="C1923" s="27">
        <v>0</v>
      </c>
      <c r="D1923" s="25" t="str">
        <f t="shared" ref="D1923:D1986" si="60">CONCATENATE(YEAR(B1923-WEEKDAY(B1923,3)+3),TEXT(WEEKNUM(B1923,21),"00"))</f>
        <v>201619</v>
      </c>
      <c r="E1923" s="22" t="str">
        <f t="shared" ref="E1923:E1986" ca="1" si="61">IF(
  AND(
    YEAR(B1923)=YEAR(TODAY())-1,
    MONTH(B1923)=MONTH(TODAY()),
    DAY(B1923)&gt;DAY($H$2)
  ),
  0,
  CONCATENATE(YEAR(B1923),TEXT(MONTH(B1923),"00"))
)</f>
        <v>201605</v>
      </c>
      <c r="F1923" s="22">
        <v>2016</v>
      </c>
    </row>
    <row r="1924" spans="1:6" ht="15.75">
      <c r="A1924" s="22" t="s">
        <v>1441</v>
      </c>
      <c r="B1924" s="26">
        <v>42505</v>
      </c>
      <c r="C1924" s="27">
        <v>0</v>
      </c>
      <c r="D1924" s="25" t="str">
        <f t="shared" si="60"/>
        <v>201619</v>
      </c>
      <c r="E1924" s="22" t="str">
        <f t="shared" ca="1" si="61"/>
        <v>201605</v>
      </c>
      <c r="F1924" s="22">
        <v>2016</v>
      </c>
    </row>
    <row r="1925" spans="1:6" ht="15.75">
      <c r="A1925" s="22" t="s">
        <v>1441</v>
      </c>
      <c r="B1925" s="26">
        <v>42506</v>
      </c>
      <c r="C1925" s="27">
        <v>0</v>
      </c>
      <c r="D1925" s="25" t="str">
        <f t="shared" si="60"/>
        <v>201620</v>
      </c>
      <c r="E1925" s="22" t="str">
        <f t="shared" ca="1" si="61"/>
        <v>201605</v>
      </c>
      <c r="F1925" s="22">
        <v>2016</v>
      </c>
    </row>
    <row r="1926" spans="1:6" ht="15.75">
      <c r="A1926" s="22" t="s">
        <v>1441</v>
      </c>
      <c r="B1926" s="26">
        <v>42507</v>
      </c>
      <c r="C1926" s="27">
        <v>0</v>
      </c>
      <c r="D1926" s="25" t="str">
        <f t="shared" si="60"/>
        <v>201620</v>
      </c>
      <c r="E1926" s="22" t="str">
        <f t="shared" ca="1" si="61"/>
        <v>201605</v>
      </c>
      <c r="F1926" s="22">
        <v>2016</v>
      </c>
    </row>
    <row r="1927" spans="1:6" ht="15.75">
      <c r="A1927" s="22" t="s">
        <v>1441</v>
      </c>
      <c r="B1927" s="26">
        <v>42508</v>
      </c>
      <c r="C1927" s="27">
        <v>0</v>
      </c>
      <c r="D1927" s="25" t="str">
        <f t="shared" si="60"/>
        <v>201620</v>
      </c>
      <c r="E1927" s="22" t="str">
        <f t="shared" ca="1" si="61"/>
        <v>201605</v>
      </c>
      <c r="F1927" s="22">
        <v>2016</v>
      </c>
    </row>
    <row r="1928" spans="1:6" ht="15.75">
      <c r="A1928" s="22" t="s">
        <v>1441</v>
      </c>
      <c r="B1928" s="26">
        <v>42509</v>
      </c>
      <c r="C1928" s="27">
        <v>0</v>
      </c>
      <c r="D1928" s="25" t="str">
        <f t="shared" si="60"/>
        <v>201620</v>
      </c>
      <c r="E1928" s="22" t="str">
        <f t="shared" ca="1" si="61"/>
        <v>201605</v>
      </c>
      <c r="F1928" s="22">
        <v>2016</v>
      </c>
    </row>
    <row r="1929" spans="1:6" ht="15.75">
      <c r="A1929" s="22" t="s">
        <v>1441</v>
      </c>
      <c r="B1929" s="26">
        <v>42510</v>
      </c>
      <c r="C1929" s="27">
        <v>0</v>
      </c>
      <c r="D1929" s="25" t="str">
        <f t="shared" si="60"/>
        <v>201620</v>
      </c>
      <c r="E1929" s="22" t="str">
        <f t="shared" ca="1" si="61"/>
        <v>201605</v>
      </c>
      <c r="F1929" s="22">
        <v>2016</v>
      </c>
    </row>
    <row r="1930" spans="1:6" ht="15.75">
      <c r="A1930" s="22" t="s">
        <v>1441</v>
      </c>
      <c r="B1930" s="26">
        <v>42511</v>
      </c>
      <c r="C1930" s="27">
        <v>0</v>
      </c>
      <c r="D1930" s="25" t="str">
        <f t="shared" si="60"/>
        <v>201620</v>
      </c>
      <c r="E1930" s="22" t="str">
        <f t="shared" ca="1" si="61"/>
        <v>201605</v>
      </c>
      <c r="F1930" s="22">
        <v>2016</v>
      </c>
    </row>
    <row r="1931" spans="1:6" ht="15.75">
      <c r="A1931" s="22" t="s">
        <v>1441</v>
      </c>
      <c r="B1931" s="26">
        <v>42512</v>
      </c>
      <c r="C1931" s="27">
        <v>0</v>
      </c>
      <c r="D1931" s="25" t="str">
        <f t="shared" si="60"/>
        <v>201620</v>
      </c>
      <c r="E1931" s="22" t="str">
        <f t="shared" ca="1" si="61"/>
        <v>201605</v>
      </c>
      <c r="F1931" s="22">
        <v>2016</v>
      </c>
    </row>
    <row r="1932" spans="1:6" ht="15.75">
      <c r="A1932" s="22" t="s">
        <v>1441</v>
      </c>
      <c r="B1932" s="26">
        <v>42513</v>
      </c>
      <c r="C1932" s="27">
        <v>0</v>
      </c>
      <c r="D1932" s="25" t="str">
        <f t="shared" si="60"/>
        <v>201621</v>
      </c>
      <c r="E1932" s="22" t="str">
        <f t="shared" ca="1" si="61"/>
        <v>201605</v>
      </c>
      <c r="F1932" s="22">
        <v>2016</v>
      </c>
    </row>
    <row r="1933" spans="1:6" ht="15.75">
      <c r="A1933" s="22" t="s">
        <v>1441</v>
      </c>
      <c r="B1933" s="26">
        <v>42514</v>
      </c>
      <c r="C1933" s="27">
        <v>0</v>
      </c>
      <c r="D1933" s="25" t="str">
        <f t="shared" si="60"/>
        <v>201621</v>
      </c>
      <c r="E1933" s="22" t="str">
        <f t="shared" ca="1" si="61"/>
        <v>201605</v>
      </c>
      <c r="F1933" s="22">
        <v>2016</v>
      </c>
    </row>
    <row r="1934" spans="1:6" ht="15.75">
      <c r="A1934" s="22" t="s">
        <v>1441</v>
      </c>
      <c r="B1934" s="26">
        <v>42515</v>
      </c>
      <c r="C1934" s="27">
        <v>0</v>
      </c>
      <c r="D1934" s="25" t="str">
        <f t="shared" si="60"/>
        <v>201621</v>
      </c>
      <c r="E1934" s="22" t="str">
        <f t="shared" ca="1" si="61"/>
        <v>201605</v>
      </c>
      <c r="F1934" s="22">
        <v>2016</v>
      </c>
    </row>
    <row r="1935" spans="1:6" ht="15.75">
      <c r="A1935" s="22" t="s">
        <v>1441</v>
      </c>
      <c r="B1935" s="26">
        <v>42516</v>
      </c>
      <c r="C1935" s="27">
        <v>0</v>
      </c>
      <c r="D1935" s="25" t="str">
        <f t="shared" si="60"/>
        <v>201621</v>
      </c>
      <c r="E1935" s="22" t="str">
        <f t="shared" ca="1" si="61"/>
        <v>201605</v>
      </c>
      <c r="F1935" s="22">
        <v>2016</v>
      </c>
    </row>
    <row r="1936" spans="1:6" ht="15.75">
      <c r="A1936" s="22" t="s">
        <v>1441</v>
      </c>
      <c r="B1936" s="26">
        <v>42517</v>
      </c>
      <c r="C1936" s="27">
        <v>0</v>
      </c>
      <c r="D1936" s="25" t="str">
        <f t="shared" si="60"/>
        <v>201621</v>
      </c>
      <c r="E1936" s="22" t="str">
        <f t="shared" ca="1" si="61"/>
        <v>201605</v>
      </c>
      <c r="F1936" s="22">
        <v>2016</v>
      </c>
    </row>
    <row r="1937" spans="1:6" ht="15.75">
      <c r="A1937" s="22" t="s">
        <v>1441</v>
      </c>
      <c r="B1937" s="26">
        <v>42518</v>
      </c>
      <c r="C1937" s="27">
        <v>0</v>
      </c>
      <c r="D1937" s="25" t="str">
        <f t="shared" si="60"/>
        <v>201621</v>
      </c>
      <c r="E1937" s="22" t="str">
        <f t="shared" ca="1" si="61"/>
        <v>201605</v>
      </c>
      <c r="F1937" s="22">
        <v>2016</v>
      </c>
    </row>
    <row r="1938" spans="1:6" ht="15.75">
      <c r="A1938" s="22" t="s">
        <v>1441</v>
      </c>
      <c r="B1938" s="26">
        <v>42519</v>
      </c>
      <c r="C1938" s="27">
        <v>0</v>
      </c>
      <c r="D1938" s="25" t="str">
        <f t="shared" si="60"/>
        <v>201621</v>
      </c>
      <c r="E1938" s="22" t="str">
        <f t="shared" ca="1" si="61"/>
        <v>201605</v>
      </c>
      <c r="F1938" s="22">
        <v>2016</v>
      </c>
    </row>
    <row r="1939" spans="1:6" ht="15.75">
      <c r="A1939" s="22" t="s">
        <v>1441</v>
      </c>
      <c r="B1939" s="26">
        <v>42520</v>
      </c>
      <c r="C1939" s="27">
        <v>0</v>
      </c>
      <c r="D1939" s="25" t="str">
        <f t="shared" si="60"/>
        <v>201622</v>
      </c>
      <c r="E1939" s="22" t="str">
        <f t="shared" ca="1" si="61"/>
        <v>201605</v>
      </c>
      <c r="F1939" s="22">
        <v>2016</v>
      </c>
    </row>
    <row r="1940" spans="1:6" ht="15.75">
      <c r="A1940" s="22" t="s">
        <v>1441</v>
      </c>
      <c r="B1940" s="26">
        <v>42521</v>
      </c>
      <c r="C1940" s="27">
        <v>0</v>
      </c>
      <c r="D1940" s="25" t="str">
        <f t="shared" si="60"/>
        <v>201622</v>
      </c>
      <c r="E1940" s="22" t="str">
        <f t="shared" ca="1" si="61"/>
        <v>201605</v>
      </c>
      <c r="F1940" s="22">
        <v>2016</v>
      </c>
    </row>
    <row r="1941" spans="1:6" ht="15.75">
      <c r="A1941" s="22" t="s">
        <v>1441</v>
      </c>
      <c r="B1941" s="26">
        <v>42522</v>
      </c>
      <c r="C1941" s="27">
        <v>0</v>
      </c>
      <c r="D1941" s="25" t="str">
        <f t="shared" si="60"/>
        <v>201622</v>
      </c>
      <c r="E1941" s="22" t="str">
        <f t="shared" ca="1" si="61"/>
        <v>201606</v>
      </c>
      <c r="F1941" s="22">
        <v>2016</v>
      </c>
    </row>
    <row r="1942" spans="1:6" ht="15.75">
      <c r="A1942" s="22" t="s">
        <v>1441</v>
      </c>
      <c r="B1942" s="26">
        <v>42523</v>
      </c>
      <c r="C1942" s="27">
        <v>0</v>
      </c>
      <c r="D1942" s="25" t="str">
        <f t="shared" si="60"/>
        <v>201622</v>
      </c>
      <c r="E1942" s="22" t="str">
        <f t="shared" ca="1" si="61"/>
        <v>201606</v>
      </c>
      <c r="F1942" s="22">
        <v>2016</v>
      </c>
    </row>
    <row r="1943" spans="1:6" ht="15.75">
      <c r="A1943" s="22" t="s">
        <v>1441</v>
      </c>
      <c r="B1943" s="26">
        <v>42524</v>
      </c>
      <c r="C1943" s="27">
        <v>0</v>
      </c>
      <c r="D1943" s="25" t="str">
        <f t="shared" si="60"/>
        <v>201622</v>
      </c>
      <c r="E1943" s="22" t="str">
        <f t="shared" ca="1" si="61"/>
        <v>201606</v>
      </c>
      <c r="F1943" s="22">
        <v>2016</v>
      </c>
    </row>
    <row r="1944" spans="1:6" ht="15.75">
      <c r="A1944" s="22" t="s">
        <v>1441</v>
      </c>
      <c r="B1944" s="26">
        <v>42525</v>
      </c>
      <c r="C1944" s="27">
        <v>0</v>
      </c>
      <c r="D1944" s="25" t="str">
        <f t="shared" si="60"/>
        <v>201622</v>
      </c>
      <c r="E1944" s="22" t="str">
        <f t="shared" ca="1" si="61"/>
        <v>201606</v>
      </c>
      <c r="F1944" s="22">
        <v>2016</v>
      </c>
    </row>
    <row r="1945" spans="1:6" ht="15.75">
      <c r="A1945" s="22" t="s">
        <v>1441</v>
      </c>
      <c r="B1945" s="26">
        <v>42526</v>
      </c>
      <c r="C1945" s="27">
        <v>0</v>
      </c>
      <c r="D1945" s="25" t="str">
        <f t="shared" si="60"/>
        <v>201622</v>
      </c>
      <c r="E1945" s="22" t="str">
        <f t="shared" ca="1" si="61"/>
        <v>201606</v>
      </c>
      <c r="F1945" s="22">
        <v>2016</v>
      </c>
    </row>
    <row r="1946" spans="1:6" ht="15.75">
      <c r="A1946" s="22" t="s">
        <v>1441</v>
      </c>
      <c r="B1946" s="26">
        <v>42527</v>
      </c>
      <c r="C1946" s="27">
        <v>0</v>
      </c>
      <c r="D1946" s="25" t="str">
        <f t="shared" si="60"/>
        <v>201623</v>
      </c>
      <c r="E1946" s="22" t="str">
        <f t="shared" ca="1" si="61"/>
        <v>201606</v>
      </c>
      <c r="F1946" s="22">
        <v>2016</v>
      </c>
    </row>
    <row r="1947" spans="1:6" ht="15.75">
      <c r="A1947" s="22" t="s">
        <v>1441</v>
      </c>
      <c r="B1947" s="26">
        <v>42528</v>
      </c>
      <c r="C1947" s="27">
        <v>0</v>
      </c>
      <c r="D1947" s="25" t="str">
        <f t="shared" si="60"/>
        <v>201623</v>
      </c>
      <c r="E1947" s="22" t="str">
        <f t="shared" ca="1" si="61"/>
        <v>201606</v>
      </c>
      <c r="F1947" s="22">
        <v>2016</v>
      </c>
    </row>
    <row r="1948" spans="1:6" ht="15.75">
      <c r="A1948" s="22" t="s">
        <v>1441</v>
      </c>
      <c r="B1948" s="26">
        <v>42529</v>
      </c>
      <c r="C1948" s="27">
        <v>0</v>
      </c>
      <c r="D1948" s="25" t="str">
        <f t="shared" si="60"/>
        <v>201623</v>
      </c>
      <c r="E1948" s="22" t="str">
        <f t="shared" ca="1" si="61"/>
        <v>201606</v>
      </c>
      <c r="F1948" s="22">
        <v>2016</v>
      </c>
    </row>
    <row r="1949" spans="1:6" ht="15.75">
      <c r="A1949" s="22" t="s">
        <v>1441</v>
      </c>
      <c r="B1949" s="26">
        <v>42530</v>
      </c>
      <c r="C1949" s="27">
        <v>0</v>
      </c>
      <c r="D1949" s="25" t="str">
        <f t="shared" si="60"/>
        <v>201623</v>
      </c>
      <c r="E1949" s="22" t="str">
        <f t="shared" ca="1" si="61"/>
        <v>201606</v>
      </c>
      <c r="F1949" s="22">
        <v>2016</v>
      </c>
    </row>
    <row r="1950" spans="1:6" ht="15.75">
      <c r="A1950" s="22" t="s">
        <v>1441</v>
      </c>
      <c r="B1950" s="26">
        <v>42531</v>
      </c>
      <c r="C1950" s="27">
        <v>0</v>
      </c>
      <c r="D1950" s="25" t="str">
        <f t="shared" si="60"/>
        <v>201623</v>
      </c>
      <c r="E1950" s="22" t="str">
        <f t="shared" ca="1" si="61"/>
        <v>201606</v>
      </c>
      <c r="F1950" s="22">
        <v>2016</v>
      </c>
    </row>
    <row r="1951" spans="1:6" ht="15.75">
      <c r="A1951" s="22" t="s">
        <v>1441</v>
      </c>
      <c r="B1951" s="26">
        <v>42532</v>
      </c>
      <c r="C1951" s="27">
        <v>0</v>
      </c>
      <c r="D1951" s="25" t="str">
        <f t="shared" si="60"/>
        <v>201623</v>
      </c>
      <c r="E1951" s="22" t="str">
        <f t="shared" ca="1" si="61"/>
        <v>201606</v>
      </c>
      <c r="F1951" s="22">
        <v>2016</v>
      </c>
    </row>
    <row r="1952" spans="1:6" ht="15.75">
      <c r="A1952" s="22" t="s">
        <v>1441</v>
      </c>
      <c r="B1952" s="26">
        <v>42533</v>
      </c>
      <c r="C1952" s="27">
        <v>0</v>
      </c>
      <c r="D1952" s="25" t="str">
        <f t="shared" si="60"/>
        <v>201623</v>
      </c>
      <c r="E1952" s="22" t="str">
        <f t="shared" ca="1" si="61"/>
        <v>201606</v>
      </c>
      <c r="F1952" s="22">
        <v>2016</v>
      </c>
    </row>
    <row r="1953" spans="1:6" ht="15.75">
      <c r="A1953" s="22" t="s">
        <v>1441</v>
      </c>
      <c r="B1953" s="26">
        <v>42534</v>
      </c>
      <c r="C1953" s="27">
        <v>11.37</v>
      </c>
      <c r="D1953" s="25" t="str">
        <f t="shared" si="60"/>
        <v>201624</v>
      </c>
      <c r="E1953" s="22" t="str">
        <f t="shared" ca="1" si="61"/>
        <v>201606</v>
      </c>
      <c r="F1953" s="22">
        <v>2016</v>
      </c>
    </row>
    <row r="1954" spans="1:6" ht="15.75">
      <c r="A1954" s="22" t="s">
        <v>1441</v>
      </c>
      <c r="B1954" s="26">
        <v>42535</v>
      </c>
      <c r="C1954" s="27">
        <v>19.71</v>
      </c>
      <c r="D1954" s="25" t="str">
        <f t="shared" si="60"/>
        <v>201624</v>
      </c>
      <c r="E1954" s="22" t="str">
        <f t="shared" ca="1" si="61"/>
        <v>201606</v>
      </c>
      <c r="F1954" s="22">
        <v>2016</v>
      </c>
    </row>
    <row r="1955" spans="1:6" ht="15.75">
      <c r="A1955" s="22" t="s">
        <v>1441</v>
      </c>
      <c r="B1955" s="26">
        <v>42536</v>
      </c>
      <c r="C1955" s="27">
        <v>19.809999999999999</v>
      </c>
      <c r="D1955" s="25" t="str">
        <f t="shared" si="60"/>
        <v>201624</v>
      </c>
      <c r="E1955" s="22" t="str">
        <f t="shared" ca="1" si="61"/>
        <v>201606</v>
      </c>
      <c r="F1955" s="22">
        <v>2016</v>
      </c>
    </row>
    <row r="1956" spans="1:6" ht="15.75">
      <c r="A1956" s="22" t="s">
        <v>1441</v>
      </c>
      <c r="B1956" s="26">
        <v>42537</v>
      </c>
      <c r="C1956" s="27">
        <v>19.829999999999998</v>
      </c>
      <c r="D1956" s="25" t="str">
        <f t="shared" si="60"/>
        <v>201624</v>
      </c>
      <c r="E1956" s="22" t="str">
        <f t="shared" ca="1" si="61"/>
        <v>201606</v>
      </c>
      <c r="F1956" s="22">
        <v>2016</v>
      </c>
    </row>
    <row r="1957" spans="1:6" ht="15.75">
      <c r="A1957" s="22" t="s">
        <v>1441</v>
      </c>
      <c r="B1957" s="26">
        <v>42538</v>
      </c>
      <c r="C1957" s="27">
        <v>19.84</v>
      </c>
      <c r="D1957" s="25" t="str">
        <f t="shared" si="60"/>
        <v>201624</v>
      </c>
      <c r="E1957" s="22" t="str">
        <f t="shared" ca="1" si="61"/>
        <v>201606</v>
      </c>
      <c r="F1957" s="22">
        <v>2016</v>
      </c>
    </row>
    <row r="1958" spans="1:6" ht="15.75">
      <c r="A1958" s="22" t="s">
        <v>1441</v>
      </c>
      <c r="B1958" s="26">
        <v>42539</v>
      </c>
      <c r="C1958" s="27">
        <v>19.97</v>
      </c>
      <c r="D1958" s="25" t="str">
        <f t="shared" si="60"/>
        <v>201624</v>
      </c>
      <c r="E1958" s="22" t="str">
        <f t="shared" ca="1" si="61"/>
        <v>201606</v>
      </c>
      <c r="F1958" s="22">
        <v>2016</v>
      </c>
    </row>
    <row r="1959" spans="1:6" ht="15.75">
      <c r="A1959" s="22" t="s">
        <v>1441</v>
      </c>
      <c r="B1959" s="26">
        <v>42540</v>
      </c>
      <c r="C1959" s="27">
        <v>19.850000000000001</v>
      </c>
      <c r="D1959" s="25" t="str">
        <f t="shared" si="60"/>
        <v>201624</v>
      </c>
      <c r="E1959" s="22" t="str">
        <f t="shared" ca="1" si="61"/>
        <v>201606</v>
      </c>
      <c r="F1959" s="22">
        <v>2016</v>
      </c>
    </row>
    <row r="1960" spans="1:6" ht="15.75">
      <c r="A1960" s="22" t="s">
        <v>1441</v>
      </c>
      <c r="B1960" s="26">
        <v>42541</v>
      </c>
      <c r="C1960" s="27">
        <v>20</v>
      </c>
      <c r="D1960" s="25" t="str">
        <f t="shared" si="60"/>
        <v>201625</v>
      </c>
      <c r="E1960" s="22" t="str">
        <f t="shared" ca="1" si="61"/>
        <v>201606</v>
      </c>
      <c r="F1960" s="22">
        <v>2016</v>
      </c>
    </row>
    <row r="1961" spans="1:6" ht="15.75">
      <c r="A1961" s="22" t="s">
        <v>1441</v>
      </c>
      <c r="B1961" s="26">
        <v>42542</v>
      </c>
      <c r="C1961" s="27">
        <v>20</v>
      </c>
      <c r="D1961" s="25" t="str">
        <f t="shared" si="60"/>
        <v>201625</v>
      </c>
      <c r="E1961" s="22" t="str">
        <f t="shared" ca="1" si="61"/>
        <v>201606</v>
      </c>
      <c r="F1961" s="22">
        <v>2016</v>
      </c>
    </row>
    <row r="1962" spans="1:6" ht="15.75">
      <c r="A1962" s="22" t="s">
        <v>1441</v>
      </c>
      <c r="B1962" s="26">
        <v>42543</v>
      </c>
      <c r="C1962" s="27">
        <v>19.989999999999998</v>
      </c>
      <c r="D1962" s="25" t="str">
        <f t="shared" si="60"/>
        <v>201625</v>
      </c>
      <c r="E1962" s="22" t="str">
        <f t="shared" ca="1" si="61"/>
        <v>201606</v>
      </c>
      <c r="F1962" s="22">
        <v>2016</v>
      </c>
    </row>
    <row r="1963" spans="1:6" ht="15.75">
      <c r="A1963" s="22" t="s">
        <v>1441</v>
      </c>
      <c r="B1963" s="26">
        <v>42544</v>
      </c>
      <c r="C1963" s="27">
        <v>10.15</v>
      </c>
      <c r="D1963" s="25" t="str">
        <f t="shared" si="60"/>
        <v>201625</v>
      </c>
      <c r="E1963" s="22" t="str">
        <f t="shared" ca="1" si="61"/>
        <v>201606</v>
      </c>
      <c r="F1963" s="22">
        <v>2016</v>
      </c>
    </row>
    <row r="1964" spans="1:6" ht="15.75">
      <c r="A1964" s="22" t="s">
        <v>1441</v>
      </c>
      <c r="B1964" s="26">
        <v>42545</v>
      </c>
      <c r="C1964" s="27">
        <v>20</v>
      </c>
      <c r="D1964" s="25" t="str">
        <f t="shared" si="60"/>
        <v>201625</v>
      </c>
      <c r="E1964" s="22" t="str">
        <f t="shared" ca="1" si="61"/>
        <v>201606</v>
      </c>
      <c r="F1964" s="22">
        <v>2016</v>
      </c>
    </row>
    <row r="1965" spans="1:6" ht="15.75">
      <c r="A1965" s="22" t="s">
        <v>1441</v>
      </c>
      <c r="B1965" s="26">
        <v>42546</v>
      </c>
      <c r="C1965" s="27">
        <v>19.84</v>
      </c>
      <c r="D1965" s="25" t="str">
        <f t="shared" si="60"/>
        <v>201625</v>
      </c>
      <c r="E1965" s="22" t="str">
        <f t="shared" ca="1" si="61"/>
        <v>201606</v>
      </c>
      <c r="F1965" s="22">
        <v>2016</v>
      </c>
    </row>
    <row r="1966" spans="1:6" ht="15.75">
      <c r="A1966" s="22" t="s">
        <v>1441</v>
      </c>
      <c r="B1966" s="26">
        <v>42547</v>
      </c>
      <c r="C1966" s="27">
        <v>19.71</v>
      </c>
      <c r="D1966" s="25" t="str">
        <f t="shared" si="60"/>
        <v>201625</v>
      </c>
      <c r="E1966" s="22" t="str">
        <f t="shared" ca="1" si="61"/>
        <v>201606</v>
      </c>
      <c r="F1966" s="22">
        <v>2016</v>
      </c>
    </row>
    <row r="1967" spans="1:6" ht="15.75">
      <c r="A1967" s="22" t="s">
        <v>1441</v>
      </c>
      <c r="B1967" s="26">
        <v>42548</v>
      </c>
      <c r="C1967" s="27">
        <v>19.5</v>
      </c>
      <c r="D1967" s="25" t="str">
        <f t="shared" si="60"/>
        <v>201626</v>
      </c>
      <c r="E1967" s="22" t="str">
        <f t="shared" ca="1" si="61"/>
        <v>201606</v>
      </c>
      <c r="F1967" s="22">
        <v>2016</v>
      </c>
    </row>
    <row r="1968" spans="1:6" ht="15.75">
      <c r="A1968" s="22" t="s">
        <v>1441</v>
      </c>
      <c r="B1968" s="26">
        <v>42549</v>
      </c>
      <c r="C1968" s="27">
        <v>20</v>
      </c>
      <c r="D1968" s="25" t="str">
        <f t="shared" si="60"/>
        <v>201626</v>
      </c>
      <c r="E1968" s="22" t="str">
        <f t="shared" ca="1" si="61"/>
        <v>201606</v>
      </c>
      <c r="F1968" s="22">
        <v>2016</v>
      </c>
    </row>
    <row r="1969" spans="1:6" ht="15.75">
      <c r="A1969" s="22" t="s">
        <v>1441</v>
      </c>
      <c r="B1969" s="26">
        <v>42550</v>
      </c>
      <c r="C1969" s="27">
        <v>20</v>
      </c>
      <c r="D1969" s="25" t="str">
        <f t="shared" si="60"/>
        <v>201626</v>
      </c>
      <c r="E1969" s="22" t="str">
        <f t="shared" ca="1" si="61"/>
        <v>201606</v>
      </c>
      <c r="F1969" s="22">
        <v>2016</v>
      </c>
    </row>
    <row r="1970" spans="1:6" ht="15.75">
      <c r="A1970" s="22" t="s">
        <v>1441</v>
      </c>
      <c r="B1970" s="26">
        <v>42551</v>
      </c>
      <c r="C1970" s="27">
        <v>19.93</v>
      </c>
      <c r="D1970" s="25" t="str">
        <f t="shared" si="60"/>
        <v>201626</v>
      </c>
      <c r="E1970" s="22" t="str">
        <f t="shared" ca="1" si="61"/>
        <v>201606</v>
      </c>
      <c r="F1970" s="22">
        <v>2016</v>
      </c>
    </row>
    <row r="1971" spans="1:6" ht="15.75">
      <c r="A1971" s="22" t="s">
        <v>1441</v>
      </c>
      <c r="B1971" s="26">
        <v>42552</v>
      </c>
      <c r="C1971" s="27">
        <v>19.93</v>
      </c>
      <c r="D1971" s="25" t="str">
        <f t="shared" si="60"/>
        <v>201626</v>
      </c>
      <c r="E1971" s="22" t="str">
        <f t="shared" ca="1" si="61"/>
        <v>201607</v>
      </c>
      <c r="F1971" s="22">
        <v>2016</v>
      </c>
    </row>
    <row r="1972" spans="1:6" ht="15.75">
      <c r="A1972" s="22" t="s">
        <v>1441</v>
      </c>
      <c r="B1972" s="26">
        <v>42553</v>
      </c>
      <c r="C1972" s="27">
        <v>20</v>
      </c>
      <c r="D1972" s="25" t="str">
        <f t="shared" si="60"/>
        <v>201626</v>
      </c>
      <c r="E1972" s="22" t="str">
        <f t="shared" ca="1" si="61"/>
        <v>201607</v>
      </c>
      <c r="F1972" s="22">
        <v>2016</v>
      </c>
    </row>
    <row r="1973" spans="1:6" ht="15.75">
      <c r="A1973" s="22" t="s">
        <v>1441</v>
      </c>
      <c r="B1973" s="26">
        <v>42554</v>
      </c>
      <c r="C1973" s="27">
        <v>20</v>
      </c>
      <c r="D1973" s="25" t="str">
        <f t="shared" si="60"/>
        <v>201626</v>
      </c>
      <c r="E1973" s="22" t="str">
        <f t="shared" ca="1" si="61"/>
        <v>201607</v>
      </c>
      <c r="F1973" s="22">
        <v>2016</v>
      </c>
    </row>
    <row r="1974" spans="1:6" ht="15.75">
      <c r="A1974" s="22" t="s">
        <v>1441</v>
      </c>
      <c r="B1974" s="26">
        <v>42555</v>
      </c>
      <c r="C1974" s="27">
        <v>20</v>
      </c>
      <c r="D1974" s="25" t="str">
        <f t="shared" si="60"/>
        <v>201627</v>
      </c>
      <c r="E1974" s="22" t="str">
        <f t="shared" ca="1" si="61"/>
        <v>201607</v>
      </c>
      <c r="F1974" s="22">
        <v>2016</v>
      </c>
    </row>
    <row r="1975" spans="1:6" ht="15.75">
      <c r="A1975" s="22" t="s">
        <v>1441</v>
      </c>
      <c r="B1975" s="26">
        <v>42556</v>
      </c>
      <c r="C1975" s="27">
        <v>20</v>
      </c>
      <c r="D1975" s="25" t="str">
        <f t="shared" si="60"/>
        <v>201627</v>
      </c>
      <c r="E1975" s="22" t="str">
        <f t="shared" ca="1" si="61"/>
        <v>201607</v>
      </c>
      <c r="F1975" s="22">
        <v>2016</v>
      </c>
    </row>
    <row r="1976" spans="1:6" ht="15.75">
      <c r="A1976" s="22" t="s">
        <v>1441</v>
      </c>
      <c r="B1976" s="26">
        <v>42557</v>
      </c>
      <c r="C1976" s="27">
        <v>19.940000000000001</v>
      </c>
      <c r="D1976" s="25" t="str">
        <f t="shared" si="60"/>
        <v>201627</v>
      </c>
      <c r="E1976" s="22" t="str">
        <f t="shared" ca="1" si="61"/>
        <v>201607</v>
      </c>
      <c r="F1976" s="22">
        <v>2016</v>
      </c>
    </row>
    <row r="1977" spans="1:6" ht="15.75">
      <c r="A1977" s="22" t="s">
        <v>1441</v>
      </c>
      <c r="B1977" s="26">
        <v>42558</v>
      </c>
      <c r="C1977" s="27">
        <v>19.79</v>
      </c>
      <c r="D1977" s="25" t="str">
        <f t="shared" si="60"/>
        <v>201627</v>
      </c>
      <c r="E1977" s="22" t="str">
        <f t="shared" ca="1" si="61"/>
        <v>201607</v>
      </c>
      <c r="F1977" s="22">
        <v>2016</v>
      </c>
    </row>
    <row r="1978" spans="1:6" ht="15.75">
      <c r="A1978" s="22" t="s">
        <v>1441</v>
      </c>
      <c r="B1978" s="26">
        <v>42559</v>
      </c>
      <c r="C1978" s="27">
        <v>19.84</v>
      </c>
      <c r="D1978" s="25" t="str">
        <f t="shared" si="60"/>
        <v>201627</v>
      </c>
      <c r="E1978" s="22" t="str">
        <f t="shared" ca="1" si="61"/>
        <v>201607</v>
      </c>
      <c r="F1978" s="22">
        <v>2016</v>
      </c>
    </row>
    <row r="1979" spans="1:6" ht="15.75">
      <c r="A1979" s="22" t="s">
        <v>1441</v>
      </c>
      <c r="B1979" s="26">
        <v>42560</v>
      </c>
      <c r="C1979" s="27">
        <v>19.89</v>
      </c>
      <c r="D1979" s="25" t="str">
        <f t="shared" si="60"/>
        <v>201627</v>
      </c>
      <c r="E1979" s="22" t="str">
        <f t="shared" ca="1" si="61"/>
        <v>201607</v>
      </c>
      <c r="F1979" s="22">
        <v>2016</v>
      </c>
    </row>
    <row r="1980" spans="1:6" ht="15.75">
      <c r="A1980" s="22" t="s">
        <v>1441</v>
      </c>
      <c r="B1980" s="26">
        <v>42561</v>
      </c>
      <c r="C1980" s="27">
        <v>19.829999999999998</v>
      </c>
      <c r="D1980" s="25" t="str">
        <f t="shared" si="60"/>
        <v>201627</v>
      </c>
      <c r="E1980" s="22" t="str">
        <f t="shared" ca="1" si="61"/>
        <v>201607</v>
      </c>
      <c r="F1980" s="22">
        <v>2016</v>
      </c>
    </row>
    <row r="1981" spans="1:6" ht="15.75">
      <c r="A1981" s="22" t="s">
        <v>1441</v>
      </c>
      <c r="B1981" s="26">
        <v>42562</v>
      </c>
      <c r="C1981" s="27">
        <v>19.829999999999998</v>
      </c>
      <c r="D1981" s="25" t="str">
        <f t="shared" si="60"/>
        <v>201628</v>
      </c>
      <c r="E1981" s="22" t="str">
        <f t="shared" ca="1" si="61"/>
        <v>201607</v>
      </c>
      <c r="F1981" s="22">
        <v>2016</v>
      </c>
    </row>
    <row r="1982" spans="1:6" ht="15.75">
      <c r="A1982" s="22" t="s">
        <v>1441</v>
      </c>
      <c r="B1982" s="26">
        <v>42563</v>
      </c>
      <c r="C1982" s="27">
        <v>19.920000000000002</v>
      </c>
      <c r="D1982" s="25" t="str">
        <f t="shared" si="60"/>
        <v>201628</v>
      </c>
      <c r="E1982" s="22" t="str">
        <f t="shared" ca="1" si="61"/>
        <v>201607</v>
      </c>
      <c r="F1982" s="22">
        <v>2016</v>
      </c>
    </row>
    <row r="1983" spans="1:6" ht="15.75">
      <c r="A1983" s="22" t="s">
        <v>1441</v>
      </c>
      <c r="B1983" s="26">
        <v>42564</v>
      </c>
      <c r="C1983" s="27">
        <v>19.38</v>
      </c>
      <c r="D1983" s="25" t="str">
        <f t="shared" si="60"/>
        <v>201628</v>
      </c>
      <c r="E1983" s="22" t="str">
        <f t="shared" ca="1" si="61"/>
        <v>201607</v>
      </c>
      <c r="F1983" s="22">
        <v>2016</v>
      </c>
    </row>
    <row r="1984" spans="1:6" ht="15.75">
      <c r="A1984" s="22" t="s">
        <v>1441</v>
      </c>
      <c r="B1984" s="26">
        <v>42565</v>
      </c>
      <c r="C1984" s="27">
        <v>20</v>
      </c>
      <c r="D1984" s="25" t="str">
        <f t="shared" si="60"/>
        <v>201628</v>
      </c>
      <c r="E1984" s="22" t="str">
        <f t="shared" ca="1" si="61"/>
        <v>201607</v>
      </c>
      <c r="F1984" s="22">
        <v>2016</v>
      </c>
    </row>
    <row r="1985" spans="1:6" ht="15.75">
      <c r="A1985" s="22" t="s">
        <v>1441</v>
      </c>
      <c r="B1985" s="26">
        <v>42566</v>
      </c>
      <c r="C1985" s="27">
        <v>20</v>
      </c>
      <c r="D1985" s="25" t="str">
        <f t="shared" si="60"/>
        <v>201628</v>
      </c>
      <c r="E1985" s="22" t="str">
        <f t="shared" ca="1" si="61"/>
        <v>201607</v>
      </c>
      <c r="F1985" s="22">
        <v>2016</v>
      </c>
    </row>
    <row r="1986" spans="1:6" ht="15.75">
      <c r="A1986" s="22" t="s">
        <v>1441</v>
      </c>
      <c r="B1986" s="26">
        <v>42567</v>
      </c>
      <c r="C1986" s="27">
        <v>19.809999999999999</v>
      </c>
      <c r="D1986" s="25" t="str">
        <f t="shared" si="60"/>
        <v>201628</v>
      </c>
      <c r="E1986" s="22" t="str">
        <f t="shared" ca="1" si="61"/>
        <v>201607</v>
      </c>
      <c r="F1986" s="22">
        <v>2016</v>
      </c>
    </row>
    <row r="1987" spans="1:6" ht="15.75">
      <c r="A1987" s="22" t="s">
        <v>1441</v>
      </c>
      <c r="B1987" s="26">
        <v>42568</v>
      </c>
      <c r="C1987" s="27">
        <v>19.95</v>
      </c>
      <c r="D1987" s="25" t="str">
        <f t="shared" ref="D1987:D2050" si="62">CONCATENATE(YEAR(B1987-WEEKDAY(B1987,3)+3),TEXT(WEEKNUM(B1987,21),"00"))</f>
        <v>201628</v>
      </c>
      <c r="E1987" s="22" t="str">
        <f t="shared" ref="E1987:E2050" ca="1" si="63">IF(
  AND(
    YEAR(B1987)=YEAR(TODAY())-1,
    MONTH(B1987)=MONTH(TODAY()),
    DAY(B1987)&gt;DAY($H$2)
  ),
  0,
  CONCATENATE(YEAR(B1987),TEXT(MONTH(B1987),"00"))
)</f>
        <v>201607</v>
      </c>
      <c r="F1987" s="22">
        <v>2016</v>
      </c>
    </row>
    <row r="1988" spans="1:6" ht="15.75">
      <c r="A1988" s="22" t="s">
        <v>1441</v>
      </c>
      <c r="B1988" s="26">
        <v>42569</v>
      </c>
      <c r="C1988" s="27">
        <v>3.73</v>
      </c>
      <c r="D1988" s="25" t="str">
        <f t="shared" si="62"/>
        <v>201629</v>
      </c>
      <c r="E1988" s="22" t="str">
        <f t="shared" ca="1" si="63"/>
        <v>201607</v>
      </c>
      <c r="F1988" s="22">
        <v>2016</v>
      </c>
    </row>
    <row r="1989" spans="1:6" ht="15.75">
      <c r="A1989" s="22" t="s">
        <v>1441</v>
      </c>
      <c r="B1989" s="26">
        <v>42570</v>
      </c>
      <c r="C1989" s="27">
        <v>0</v>
      </c>
      <c r="D1989" s="25" t="str">
        <f t="shared" si="62"/>
        <v>201629</v>
      </c>
      <c r="E1989" s="22" t="str">
        <f t="shared" ca="1" si="63"/>
        <v>201607</v>
      </c>
      <c r="F1989" s="22">
        <v>2016</v>
      </c>
    </row>
    <row r="1990" spans="1:6" ht="15.75">
      <c r="A1990" s="22" t="s">
        <v>1441</v>
      </c>
      <c r="B1990" s="26">
        <v>42571</v>
      </c>
      <c r="C1990" s="27">
        <v>0</v>
      </c>
      <c r="D1990" s="25" t="str">
        <f t="shared" si="62"/>
        <v>201629</v>
      </c>
      <c r="E1990" s="22" t="str">
        <f t="shared" ca="1" si="63"/>
        <v>201607</v>
      </c>
      <c r="F1990" s="22">
        <v>2016</v>
      </c>
    </row>
    <row r="1991" spans="1:6" ht="15.75">
      <c r="A1991" s="22" t="s">
        <v>1441</v>
      </c>
      <c r="B1991" s="26">
        <v>42572</v>
      </c>
      <c r="C1991" s="27">
        <v>0</v>
      </c>
      <c r="D1991" s="25" t="str">
        <f t="shared" si="62"/>
        <v>201629</v>
      </c>
      <c r="E1991" s="22" t="str">
        <f t="shared" ca="1" si="63"/>
        <v>201607</v>
      </c>
      <c r="F1991" s="22">
        <v>2016</v>
      </c>
    </row>
    <row r="1992" spans="1:6" ht="15.75">
      <c r="A1992" s="22" t="s">
        <v>1441</v>
      </c>
      <c r="B1992" s="26">
        <v>42573</v>
      </c>
      <c r="C1992" s="27">
        <v>0</v>
      </c>
      <c r="D1992" s="25" t="str">
        <f t="shared" si="62"/>
        <v>201629</v>
      </c>
      <c r="E1992" s="22" t="str">
        <f t="shared" ca="1" si="63"/>
        <v>201607</v>
      </c>
      <c r="F1992" s="22">
        <v>2016</v>
      </c>
    </row>
    <row r="1993" spans="1:6" ht="15.75">
      <c r="A1993" s="22" t="s">
        <v>1441</v>
      </c>
      <c r="B1993" s="26">
        <v>42574</v>
      </c>
      <c r="C1993" s="27">
        <v>0</v>
      </c>
      <c r="D1993" s="25" t="str">
        <f t="shared" si="62"/>
        <v>201629</v>
      </c>
      <c r="E1993" s="22" t="str">
        <f t="shared" ca="1" si="63"/>
        <v>201607</v>
      </c>
      <c r="F1993" s="22">
        <v>2016</v>
      </c>
    </row>
    <row r="1994" spans="1:6" ht="15.75">
      <c r="A1994" s="22" t="s">
        <v>1441</v>
      </c>
      <c r="B1994" s="26">
        <v>42575</v>
      </c>
      <c r="C1994" s="27">
        <v>0</v>
      </c>
      <c r="D1994" s="25" t="str">
        <f t="shared" si="62"/>
        <v>201629</v>
      </c>
      <c r="E1994" s="22" t="str">
        <f t="shared" ca="1" si="63"/>
        <v>201607</v>
      </c>
      <c r="F1994" s="22">
        <v>2016</v>
      </c>
    </row>
    <row r="1995" spans="1:6" ht="15.75">
      <c r="A1995" s="22" t="s">
        <v>1441</v>
      </c>
      <c r="B1995" s="26">
        <v>42576</v>
      </c>
      <c r="C1995" s="27">
        <v>0</v>
      </c>
      <c r="D1995" s="25" t="str">
        <f t="shared" si="62"/>
        <v>201630</v>
      </c>
      <c r="E1995" s="22" t="str">
        <f t="shared" ca="1" si="63"/>
        <v>201607</v>
      </c>
      <c r="F1995" s="22">
        <v>2016</v>
      </c>
    </row>
    <row r="1996" spans="1:6" ht="15.75">
      <c r="A1996" s="22" t="s">
        <v>1441</v>
      </c>
      <c r="B1996" s="26">
        <v>42577</v>
      </c>
      <c r="C1996" s="27">
        <v>0</v>
      </c>
      <c r="D1996" s="25" t="str">
        <f t="shared" si="62"/>
        <v>201630</v>
      </c>
      <c r="E1996" s="22" t="str">
        <f t="shared" ca="1" si="63"/>
        <v>201607</v>
      </c>
      <c r="F1996" s="22">
        <v>2016</v>
      </c>
    </row>
    <row r="1997" spans="1:6" ht="15.75">
      <c r="A1997" s="22" t="s">
        <v>1441</v>
      </c>
      <c r="B1997" s="26">
        <v>42578</v>
      </c>
      <c r="C1997" s="27">
        <v>0</v>
      </c>
      <c r="D1997" s="25" t="str">
        <f t="shared" si="62"/>
        <v>201630</v>
      </c>
      <c r="E1997" s="22" t="str">
        <f t="shared" ca="1" si="63"/>
        <v>201607</v>
      </c>
      <c r="F1997" s="22">
        <v>2016</v>
      </c>
    </row>
    <row r="1998" spans="1:6" ht="15.75">
      <c r="A1998" s="22" t="s">
        <v>1441</v>
      </c>
      <c r="B1998" s="26">
        <v>42579</v>
      </c>
      <c r="C1998" s="27">
        <v>24.99</v>
      </c>
      <c r="D1998" s="25" t="str">
        <f t="shared" si="62"/>
        <v>201630</v>
      </c>
      <c r="E1998" s="22" t="str">
        <f t="shared" ca="1" si="63"/>
        <v>201607</v>
      </c>
      <c r="F1998" s="22">
        <v>2016</v>
      </c>
    </row>
    <row r="1999" spans="1:6" ht="15.75">
      <c r="A1999" s="22" t="s">
        <v>1441</v>
      </c>
      <c r="B1999" s="26">
        <v>42580</v>
      </c>
      <c r="C1999" s="27">
        <v>45.64</v>
      </c>
      <c r="D1999" s="25" t="str">
        <f t="shared" si="62"/>
        <v>201630</v>
      </c>
      <c r="E1999" s="22" t="str">
        <f t="shared" ca="1" si="63"/>
        <v>201607</v>
      </c>
      <c r="F1999" s="22">
        <v>2016</v>
      </c>
    </row>
    <row r="2000" spans="1:6" ht="15.75">
      <c r="A2000" s="22" t="s">
        <v>1441</v>
      </c>
      <c r="B2000" s="26">
        <v>42581</v>
      </c>
      <c r="C2000" s="27">
        <v>57.07</v>
      </c>
      <c r="D2000" s="25" t="str">
        <f t="shared" si="62"/>
        <v>201630</v>
      </c>
      <c r="E2000" s="22" t="str">
        <f t="shared" ca="1" si="63"/>
        <v>201607</v>
      </c>
      <c r="F2000" s="22">
        <v>2016</v>
      </c>
    </row>
    <row r="2001" spans="1:6" ht="15.75">
      <c r="A2001" s="22" t="s">
        <v>1441</v>
      </c>
      <c r="B2001" s="26">
        <v>42582</v>
      </c>
      <c r="C2001" s="27">
        <v>61.34</v>
      </c>
      <c r="D2001" s="25" t="str">
        <f t="shared" si="62"/>
        <v>201630</v>
      </c>
      <c r="E2001" s="22" t="str">
        <f t="shared" ca="1" si="63"/>
        <v>201607</v>
      </c>
      <c r="F2001" s="22">
        <v>2016</v>
      </c>
    </row>
    <row r="2002" spans="1:6" ht="15.75">
      <c r="A2002" s="22" t="s">
        <v>1441</v>
      </c>
      <c r="B2002" s="26">
        <v>42583</v>
      </c>
      <c r="C2002" s="27">
        <v>60.62</v>
      </c>
      <c r="D2002" s="25" t="str">
        <f t="shared" si="62"/>
        <v>201631</v>
      </c>
      <c r="E2002" s="22" t="str">
        <f t="shared" ca="1" si="63"/>
        <v>201608</v>
      </c>
      <c r="F2002" s="22">
        <v>2016</v>
      </c>
    </row>
    <row r="2003" spans="1:6" ht="15.75">
      <c r="A2003" s="22" t="s">
        <v>1441</v>
      </c>
      <c r="B2003" s="26">
        <v>42584</v>
      </c>
      <c r="C2003" s="27">
        <v>60.63</v>
      </c>
      <c r="D2003" s="25" t="str">
        <f t="shared" si="62"/>
        <v>201631</v>
      </c>
      <c r="E2003" s="22" t="str">
        <f t="shared" ca="1" si="63"/>
        <v>201608</v>
      </c>
      <c r="F2003" s="22">
        <v>2016</v>
      </c>
    </row>
    <row r="2004" spans="1:6" ht="15.75">
      <c r="A2004" s="22" t="s">
        <v>1441</v>
      </c>
      <c r="B2004" s="26">
        <v>42585</v>
      </c>
      <c r="C2004" s="27">
        <v>59.19</v>
      </c>
      <c r="D2004" s="25" t="str">
        <f t="shared" si="62"/>
        <v>201631</v>
      </c>
      <c r="E2004" s="22" t="str">
        <f t="shared" ca="1" si="63"/>
        <v>201608</v>
      </c>
      <c r="F2004" s="22">
        <v>2016</v>
      </c>
    </row>
    <row r="2005" spans="1:6" ht="15.75">
      <c r="A2005" s="22" t="s">
        <v>1441</v>
      </c>
      <c r="B2005" s="26">
        <v>42586</v>
      </c>
      <c r="C2005" s="27">
        <v>60.39</v>
      </c>
      <c r="D2005" s="25" t="str">
        <f t="shared" si="62"/>
        <v>201631</v>
      </c>
      <c r="E2005" s="22" t="str">
        <f t="shared" ca="1" si="63"/>
        <v>201608</v>
      </c>
      <c r="F2005" s="22">
        <v>2016</v>
      </c>
    </row>
    <row r="2006" spans="1:6" ht="15.75">
      <c r="A2006" s="22" t="s">
        <v>1441</v>
      </c>
      <c r="B2006" s="26">
        <v>42587</v>
      </c>
      <c r="C2006" s="27">
        <v>59.17</v>
      </c>
      <c r="D2006" s="25" t="str">
        <f t="shared" si="62"/>
        <v>201631</v>
      </c>
      <c r="E2006" s="22" t="str">
        <f t="shared" ca="1" si="63"/>
        <v>201608</v>
      </c>
      <c r="F2006" s="22">
        <v>2016</v>
      </c>
    </row>
    <row r="2007" spans="1:6" ht="15.75">
      <c r="A2007" s="22" t="s">
        <v>1441</v>
      </c>
      <c r="B2007" s="26">
        <v>42588</v>
      </c>
      <c r="C2007" s="27">
        <v>58.32</v>
      </c>
      <c r="D2007" s="25" t="str">
        <f t="shared" si="62"/>
        <v>201631</v>
      </c>
      <c r="E2007" s="22" t="str">
        <f t="shared" ca="1" si="63"/>
        <v>201608</v>
      </c>
      <c r="F2007" s="22">
        <v>2016</v>
      </c>
    </row>
    <row r="2008" spans="1:6" ht="15.75">
      <c r="A2008" s="22" t="s">
        <v>1441</v>
      </c>
      <c r="B2008" s="26">
        <v>42589</v>
      </c>
      <c r="C2008" s="27">
        <v>61.23</v>
      </c>
      <c r="D2008" s="25" t="str">
        <f t="shared" si="62"/>
        <v>201631</v>
      </c>
      <c r="E2008" s="22" t="str">
        <f t="shared" ca="1" si="63"/>
        <v>201608</v>
      </c>
      <c r="F2008" s="22">
        <v>2016</v>
      </c>
    </row>
    <row r="2009" spans="1:6" ht="15.75">
      <c r="A2009" s="22" t="s">
        <v>1441</v>
      </c>
      <c r="B2009" s="26">
        <v>42590</v>
      </c>
      <c r="C2009" s="27">
        <v>59.88</v>
      </c>
      <c r="D2009" s="25" t="str">
        <f t="shared" si="62"/>
        <v>201632</v>
      </c>
      <c r="E2009" s="22" t="str">
        <f t="shared" ca="1" si="63"/>
        <v>201608</v>
      </c>
      <c r="F2009" s="22">
        <v>2016</v>
      </c>
    </row>
    <row r="2010" spans="1:6" ht="15.75">
      <c r="A2010" s="22" t="s">
        <v>1441</v>
      </c>
      <c r="B2010" s="26">
        <v>42591</v>
      </c>
      <c r="C2010" s="27">
        <v>59.58</v>
      </c>
      <c r="D2010" s="25" t="str">
        <f t="shared" si="62"/>
        <v>201632</v>
      </c>
      <c r="E2010" s="22" t="str">
        <f t="shared" ca="1" si="63"/>
        <v>201608</v>
      </c>
      <c r="F2010" s="22">
        <v>2016</v>
      </c>
    </row>
    <row r="2011" spans="1:6" ht="15.75">
      <c r="A2011" s="22" t="s">
        <v>1441</v>
      </c>
      <c r="B2011" s="26">
        <v>42592</v>
      </c>
      <c r="C2011" s="27">
        <v>61.58</v>
      </c>
      <c r="D2011" s="25" t="str">
        <f t="shared" si="62"/>
        <v>201632</v>
      </c>
      <c r="E2011" s="22" t="str">
        <f t="shared" ca="1" si="63"/>
        <v>201608</v>
      </c>
      <c r="F2011" s="22">
        <v>2016</v>
      </c>
    </row>
    <row r="2012" spans="1:6" ht="15.75">
      <c r="A2012" s="22" t="s">
        <v>1441</v>
      </c>
      <c r="B2012" s="26">
        <v>42593</v>
      </c>
      <c r="C2012" s="27">
        <v>61.55</v>
      </c>
      <c r="D2012" s="25" t="str">
        <f t="shared" si="62"/>
        <v>201632</v>
      </c>
      <c r="E2012" s="22" t="str">
        <f t="shared" ca="1" si="63"/>
        <v>201608</v>
      </c>
      <c r="F2012" s="22">
        <v>2016</v>
      </c>
    </row>
    <row r="2013" spans="1:6" ht="15.75">
      <c r="A2013" s="22" t="s">
        <v>1441</v>
      </c>
      <c r="B2013" s="26">
        <v>42594</v>
      </c>
      <c r="C2013" s="27">
        <v>59.59</v>
      </c>
      <c r="D2013" s="25" t="str">
        <f t="shared" si="62"/>
        <v>201632</v>
      </c>
      <c r="E2013" s="22" t="str">
        <f t="shared" ca="1" si="63"/>
        <v>201608</v>
      </c>
      <c r="F2013" s="22">
        <v>2016</v>
      </c>
    </row>
    <row r="2014" spans="1:6" ht="15.75">
      <c r="A2014" s="22" t="s">
        <v>1441</v>
      </c>
      <c r="B2014" s="26">
        <v>42595</v>
      </c>
      <c r="C2014" s="27">
        <v>56.59</v>
      </c>
      <c r="D2014" s="25" t="str">
        <f t="shared" si="62"/>
        <v>201632</v>
      </c>
      <c r="E2014" s="22" t="str">
        <f t="shared" ca="1" si="63"/>
        <v>201608</v>
      </c>
      <c r="F2014" s="22">
        <v>2016</v>
      </c>
    </row>
    <row r="2015" spans="1:6" ht="15.75">
      <c r="A2015" s="22" t="s">
        <v>1441</v>
      </c>
      <c r="B2015" s="26">
        <v>42596</v>
      </c>
      <c r="C2015" s="27">
        <v>62.38</v>
      </c>
      <c r="D2015" s="25" t="str">
        <f t="shared" si="62"/>
        <v>201632</v>
      </c>
      <c r="E2015" s="22" t="str">
        <f t="shared" ca="1" si="63"/>
        <v>201608</v>
      </c>
      <c r="F2015" s="22">
        <v>2016</v>
      </c>
    </row>
    <row r="2016" spans="1:6" ht="15.75">
      <c r="A2016" s="22" t="s">
        <v>1441</v>
      </c>
      <c r="B2016" s="26">
        <v>42597</v>
      </c>
      <c r="C2016" s="27">
        <v>63.14</v>
      </c>
      <c r="D2016" s="25" t="str">
        <f t="shared" si="62"/>
        <v>201633</v>
      </c>
      <c r="E2016" s="22" t="str">
        <f t="shared" ca="1" si="63"/>
        <v>201608</v>
      </c>
      <c r="F2016" s="22">
        <v>2016</v>
      </c>
    </row>
    <row r="2017" spans="1:6" ht="15.75">
      <c r="A2017" s="22" t="s">
        <v>1441</v>
      </c>
      <c r="B2017" s="26">
        <v>42598</v>
      </c>
      <c r="C2017" s="27">
        <v>60.41</v>
      </c>
      <c r="D2017" s="25" t="str">
        <f t="shared" si="62"/>
        <v>201633</v>
      </c>
      <c r="E2017" s="22" t="str">
        <f t="shared" ca="1" si="63"/>
        <v>201608</v>
      </c>
      <c r="F2017" s="22">
        <v>2016</v>
      </c>
    </row>
    <row r="2018" spans="1:6" ht="15.75">
      <c r="A2018" s="22" t="s">
        <v>1441</v>
      </c>
      <c r="B2018" s="26">
        <v>42599</v>
      </c>
      <c r="C2018" s="27">
        <v>29.65</v>
      </c>
      <c r="D2018" s="25" t="str">
        <f t="shared" si="62"/>
        <v>201633</v>
      </c>
      <c r="E2018" s="22" t="str">
        <f t="shared" ca="1" si="63"/>
        <v>201608</v>
      </c>
      <c r="F2018" s="22">
        <v>2016</v>
      </c>
    </row>
    <row r="2019" spans="1:6" ht="15.75">
      <c r="A2019" s="22" t="s">
        <v>1441</v>
      </c>
      <c r="B2019" s="26">
        <v>42600</v>
      </c>
      <c r="C2019" s="27">
        <v>0</v>
      </c>
      <c r="D2019" s="25" t="str">
        <f t="shared" si="62"/>
        <v>201633</v>
      </c>
      <c r="E2019" s="22" t="str">
        <f t="shared" ca="1" si="63"/>
        <v>201608</v>
      </c>
      <c r="F2019" s="22">
        <v>2016</v>
      </c>
    </row>
    <row r="2020" spans="1:6" ht="15.75">
      <c r="A2020" s="22" t="s">
        <v>1441</v>
      </c>
      <c r="B2020" s="26">
        <v>42601</v>
      </c>
      <c r="C2020" s="27">
        <v>0</v>
      </c>
      <c r="D2020" s="25" t="str">
        <f t="shared" si="62"/>
        <v>201633</v>
      </c>
      <c r="E2020" s="22" t="str">
        <f t="shared" ca="1" si="63"/>
        <v>201608</v>
      </c>
      <c r="F2020" s="22">
        <v>2016</v>
      </c>
    </row>
    <row r="2021" spans="1:6" ht="15.75">
      <c r="A2021" s="22" t="s">
        <v>1441</v>
      </c>
      <c r="B2021" s="26">
        <v>42602</v>
      </c>
      <c r="C2021" s="27">
        <v>0</v>
      </c>
      <c r="D2021" s="25" t="str">
        <f t="shared" si="62"/>
        <v>201633</v>
      </c>
      <c r="E2021" s="22" t="str">
        <f t="shared" ca="1" si="63"/>
        <v>201608</v>
      </c>
      <c r="F2021" s="22">
        <v>2016</v>
      </c>
    </row>
    <row r="2022" spans="1:6" ht="15.75">
      <c r="A2022" s="22" t="s">
        <v>1441</v>
      </c>
      <c r="B2022" s="26">
        <v>42603</v>
      </c>
      <c r="C2022" s="27">
        <v>0</v>
      </c>
      <c r="D2022" s="25" t="str">
        <f t="shared" si="62"/>
        <v>201633</v>
      </c>
      <c r="E2022" s="22" t="str">
        <f t="shared" ca="1" si="63"/>
        <v>201608</v>
      </c>
      <c r="F2022" s="22">
        <v>2016</v>
      </c>
    </row>
    <row r="2023" spans="1:6" ht="15.75">
      <c r="A2023" s="22" t="s">
        <v>1441</v>
      </c>
      <c r="B2023" s="26">
        <v>42604</v>
      </c>
      <c r="C2023" s="27">
        <v>0</v>
      </c>
      <c r="D2023" s="25" t="str">
        <f t="shared" si="62"/>
        <v>201634</v>
      </c>
      <c r="E2023" s="22" t="str">
        <f t="shared" ca="1" si="63"/>
        <v>201608</v>
      </c>
      <c r="F2023" s="22">
        <v>2016</v>
      </c>
    </row>
    <row r="2024" spans="1:6" ht="15.75">
      <c r="A2024" s="22" t="s">
        <v>1441</v>
      </c>
      <c r="B2024" s="26">
        <v>42605</v>
      </c>
      <c r="C2024" s="27">
        <v>0</v>
      </c>
      <c r="D2024" s="25" t="str">
        <f t="shared" si="62"/>
        <v>201634</v>
      </c>
      <c r="E2024" s="22" t="str">
        <f t="shared" ca="1" si="63"/>
        <v>201608</v>
      </c>
      <c r="F2024" s="22">
        <v>2016</v>
      </c>
    </row>
    <row r="2025" spans="1:6" ht="15.75">
      <c r="A2025" s="22" t="s">
        <v>1441</v>
      </c>
      <c r="B2025" s="26">
        <v>42606</v>
      </c>
      <c r="C2025" s="27">
        <v>0</v>
      </c>
      <c r="D2025" s="25" t="str">
        <f t="shared" si="62"/>
        <v>201634</v>
      </c>
      <c r="E2025" s="22" t="str">
        <f t="shared" ca="1" si="63"/>
        <v>201608</v>
      </c>
      <c r="F2025" s="22">
        <v>2016</v>
      </c>
    </row>
    <row r="2026" spans="1:6" ht="15.75">
      <c r="A2026" s="22" t="s">
        <v>1441</v>
      </c>
      <c r="B2026" s="26">
        <v>42607</v>
      </c>
      <c r="C2026" s="27">
        <v>0</v>
      </c>
      <c r="D2026" s="25" t="str">
        <f t="shared" si="62"/>
        <v>201634</v>
      </c>
      <c r="E2026" s="22" t="str">
        <f t="shared" ca="1" si="63"/>
        <v>201608</v>
      </c>
      <c r="F2026" s="22">
        <v>2016</v>
      </c>
    </row>
    <row r="2027" spans="1:6" ht="15.75">
      <c r="A2027" s="22" t="s">
        <v>1441</v>
      </c>
      <c r="B2027" s="26">
        <v>42608</v>
      </c>
      <c r="C2027" s="27">
        <v>0</v>
      </c>
      <c r="D2027" s="25" t="str">
        <f t="shared" si="62"/>
        <v>201634</v>
      </c>
      <c r="E2027" s="22" t="str">
        <f t="shared" ca="1" si="63"/>
        <v>201608</v>
      </c>
      <c r="F2027" s="22">
        <v>2016</v>
      </c>
    </row>
    <row r="2028" spans="1:6" ht="15.75">
      <c r="A2028" s="22" t="s">
        <v>1441</v>
      </c>
      <c r="B2028" s="26">
        <v>42609</v>
      </c>
      <c r="C2028" s="27">
        <v>0</v>
      </c>
      <c r="D2028" s="25" t="str">
        <f t="shared" si="62"/>
        <v>201634</v>
      </c>
      <c r="E2028" s="22" t="str">
        <f t="shared" ca="1" si="63"/>
        <v>201608</v>
      </c>
      <c r="F2028" s="22">
        <v>2016</v>
      </c>
    </row>
    <row r="2029" spans="1:6" ht="15.75">
      <c r="A2029" s="22" t="s">
        <v>1441</v>
      </c>
      <c r="B2029" s="26">
        <v>42610</v>
      </c>
      <c r="C2029" s="27">
        <v>0</v>
      </c>
      <c r="D2029" s="25" t="str">
        <f t="shared" si="62"/>
        <v>201634</v>
      </c>
      <c r="E2029" s="22" t="str">
        <f t="shared" ca="1" si="63"/>
        <v>201608</v>
      </c>
      <c r="F2029" s="22">
        <v>2016</v>
      </c>
    </row>
    <row r="2030" spans="1:6" ht="15.75">
      <c r="A2030" s="22" t="s">
        <v>1441</v>
      </c>
      <c r="B2030" s="26">
        <v>42611</v>
      </c>
      <c r="C2030" s="27">
        <v>0</v>
      </c>
      <c r="D2030" s="25" t="str">
        <f t="shared" si="62"/>
        <v>201635</v>
      </c>
      <c r="E2030" s="22" t="str">
        <f t="shared" ca="1" si="63"/>
        <v>201608</v>
      </c>
      <c r="F2030" s="22">
        <v>2016</v>
      </c>
    </row>
    <row r="2031" spans="1:6" ht="15.75">
      <c r="A2031" s="22" t="s">
        <v>1441</v>
      </c>
      <c r="B2031" s="26">
        <v>42612</v>
      </c>
      <c r="C2031" s="27">
        <v>0</v>
      </c>
      <c r="D2031" s="25" t="str">
        <f t="shared" si="62"/>
        <v>201635</v>
      </c>
      <c r="E2031" s="22" t="str">
        <f t="shared" ca="1" si="63"/>
        <v>201608</v>
      </c>
      <c r="F2031" s="22">
        <v>2016</v>
      </c>
    </row>
    <row r="2032" spans="1:6" ht="15.75">
      <c r="A2032" s="22" t="s">
        <v>1441</v>
      </c>
      <c r="B2032" s="26">
        <v>42613</v>
      </c>
      <c r="C2032" s="27">
        <v>0</v>
      </c>
      <c r="D2032" s="25" t="str">
        <f t="shared" si="62"/>
        <v>201635</v>
      </c>
      <c r="E2032" s="22" t="str">
        <f t="shared" ca="1" si="63"/>
        <v>201608</v>
      </c>
      <c r="F2032" s="22">
        <v>2016</v>
      </c>
    </row>
    <row r="2033" spans="1:6" ht="15.75">
      <c r="A2033" s="22" t="s">
        <v>1441</v>
      </c>
      <c r="B2033" s="26">
        <v>42614</v>
      </c>
      <c r="C2033" s="27">
        <v>0</v>
      </c>
      <c r="D2033" s="25" t="str">
        <f t="shared" si="62"/>
        <v>201635</v>
      </c>
      <c r="E2033" s="22" t="str">
        <f t="shared" ca="1" si="63"/>
        <v>201609</v>
      </c>
      <c r="F2033" s="22">
        <v>2016</v>
      </c>
    </row>
    <row r="2034" spans="1:6" ht="15.75">
      <c r="A2034" s="22" t="s">
        <v>1441</v>
      </c>
      <c r="B2034" s="26">
        <v>42615</v>
      </c>
      <c r="C2034" s="27">
        <v>0</v>
      </c>
      <c r="D2034" s="25" t="str">
        <f t="shared" si="62"/>
        <v>201635</v>
      </c>
      <c r="E2034" s="22" t="str">
        <f t="shared" ca="1" si="63"/>
        <v>201609</v>
      </c>
      <c r="F2034" s="22">
        <v>2016</v>
      </c>
    </row>
    <row r="2035" spans="1:6" ht="15.75">
      <c r="A2035" s="22" t="s">
        <v>1441</v>
      </c>
      <c r="B2035" s="26">
        <v>42616</v>
      </c>
      <c r="C2035" s="27">
        <v>0</v>
      </c>
      <c r="D2035" s="25" t="str">
        <f t="shared" si="62"/>
        <v>201635</v>
      </c>
      <c r="E2035" s="22" t="str">
        <f t="shared" ca="1" si="63"/>
        <v>201609</v>
      </c>
      <c r="F2035" s="22">
        <v>2016</v>
      </c>
    </row>
    <row r="2036" spans="1:6" ht="15.75">
      <c r="A2036" s="22" t="s">
        <v>1441</v>
      </c>
      <c r="B2036" s="26">
        <v>42617</v>
      </c>
      <c r="C2036" s="27">
        <v>0</v>
      </c>
      <c r="D2036" s="25" t="str">
        <f t="shared" si="62"/>
        <v>201635</v>
      </c>
      <c r="E2036" s="22" t="str">
        <f t="shared" ca="1" si="63"/>
        <v>201609</v>
      </c>
      <c r="F2036" s="22">
        <v>2016</v>
      </c>
    </row>
    <row r="2037" spans="1:6" ht="15.75">
      <c r="A2037" s="22" t="s">
        <v>1441</v>
      </c>
      <c r="B2037" s="26">
        <v>42618</v>
      </c>
      <c r="C2037" s="27">
        <v>0</v>
      </c>
      <c r="D2037" s="25" t="str">
        <f t="shared" si="62"/>
        <v>201636</v>
      </c>
      <c r="E2037" s="22" t="str">
        <f t="shared" ca="1" si="63"/>
        <v>201609</v>
      </c>
      <c r="F2037" s="22">
        <v>2016</v>
      </c>
    </row>
    <row r="2038" spans="1:6" ht="15.75">
      <c r="A2038" s="22" t="s">
        <v>1441</v>
      </c>
      <c r="B2038" s="26">
        <v>42619</v>
      </c>
      <c r="C2038" s="27">
        <v>0</v>
      </c>
      <c r="D2038" s="25" t="str">
        <f t="shared" si="62"/>
        <v>201636</v>
      </c>
      <c r="E2038" s="22" t="str">
        <f t="shared" ca="1" si="63"/>
        <v>201609</v>
      </c>
      <c r="F2038" s="22">
        <v>2016</v>
      </c>
    </row>
    <row r="2039" spans="1:6" ht="15.75">
      <c r="A2039" s="22" t="s">
        <v>1441</v>
      </c>
      <c r="B2039" s="26">
        <v>42620</v>
      </c>
      <c r="C2039" s="27">
        <v>0</v>
      </c>
      <c r="D2039" s="25" t="str">
        <f t="shared" si="62"/>
        <v>201636</v>
      </c>
      <c r="E2039" s="22" t="str">
        <f t="shared" ca="1" si="63"/>
        <v>201609</v>
      </c>
      <c r="F2039" s="22">
        <v>2016</v>
      </c>
    </row>
    <row r="2040" spans="1:6" ht="15.75">
      <c r="A2040" s="22" t="s">
        <v>1441</v>
      </c>
      <c r="B2040" s="26">
        <v>42621</v>
      </c>
      <c r="C2040" s="27">
        <v>0</v>
      </c>
      <c r="D2040" s="25" t="str">
        <f t="shared" si="62"/>
        <v>201636</v>
      </c>
      <c r="E2040" s="22" t="str">
        <f t="shared" ca="1" si="63"/>
        <v>201609</v>
      </c>
      <c r="F2040" s="22">
        <v>2016</v>
      </c>
    </row>
    <row r="2041" spans="1:6" ht="15.75">
      <c r="A2041" s="22" t="s">
        <v>1441</v>
      </c>
      <c r="B2041" s="26">
        <v>42622</v>
      </c>
      <c r="C2041" s="27">
        <v>0</v>
      </c>
      <c r="D2041" s="25" t="str">
        <f t="shared" si="62"/>
        <v>201636</v>
      </c>
      <c r="E2041" s="22" t="str">
        <f t="shared" ca="1" si="63"/>
        <v>201609</v>
      </c>
      <c r="F2041" s="22">
        <v>2016</v>
      </c>
    </row>
    <row r="2042" spans="1:6" ht="15.75">
      <c r="A2042" s="22" t="s">
        <v>1441</v>
      </c>
      <c r="B2042" s="26">
        <v>42623</v>
      </c>
      <c r="C2042" s="27">
        <v>0</v>
      </c>
      <c r="D2042" s="25" t="str">
        <f t="shared" si="62"/>
        <v>201636</v>
      </c>
      <c r="E2042" s="22" t="str">
        <f t="shared" ca="1" si="63"/>
        <v>201609</v>
      </c>
      <c r="F2042" s="22">
        <v>2016</v>
      </c>
    </row>
    <row r="2043" spans="1:6" ht="15.75">
      <c r="A2043" s="22" t="s">
        <v>1441</v>
      </c>
      <c r="B2043" s="26">
        <v>42624</v>
      </c>
      <c r="C2043" s="27">
        <v>0</v>
      </c>
      <c r="D2043" s="25" t="str">
        <f t="shared" si="62"/>
        <v>201636</v>
      </c>
      <c r="E2043" s="22" t="str">
        <f t="shared" ca="1" si="63"/>
        <v>201609</v>
      </c>
      <c r="F2043" s="22">
        <v>2016</v>
      </c>
    </row>
    <row r="2044" spans="1:6" ht="15.75">
      <c r="A2044" s="22" t="s">
        <v>1441</v>
      </c>
      <c r="B2044" s="26">
        <v>42625</v>
      </c>
      <c r="C2044" s="27">
        <v>0</v>
      </c>
      <c r="D2044" s="25" t="str">
        <f t="shared" si="62"/>
        <v>201637</v>
      </c>
      <c r="E2044" s="22" t="str">
        <f t="shared" ca="1" si="63"/>
        <v>201609</v>
      </c>
      <c r="F2044" s="22">
        <v>2016</v>
      </c>
    </row>
    <row r="2045" spans="1:6" ht="15.75">
      <c r="A2045" s="22" t="s">
        <v>1441</v>
      </c>
      <c r="B2045" s="26">
        <v>42626</v>
      </c>
      <c r="C2045" s="27">
        <v>0</v>
      </c>
      <c r="D2045" s="25" t="str">
        <f t="shared" si="62"/>
        <v>201637</v>
      </c>
      <c r="E2045" s="22" t="str">
        <f t="shared" ca="1" si="63"/>
        <v>201609</v>
      </c>
      <c r="F2045" s="22">
        <v>2016</v>
      </c>
    </row>
    <row r="2046" spans="1:6" ht="15.75">
      <c r="A2046" s="22" t="s">
        <v>1441</v>
      </c>
      <c r="B2046" s="26">
        <v>42627</v>
      </c>
      <c r="C2046" s="27">
        <v>0</v>
      </c>
      <c r="D2046" s="25" t="str">
        <f t="shared" si="62"/>
        <v>201637</v>
      </c>
      <c r="E2046" s="22" t="str">
        <f t="shared" ca="1" si="63"/>
        <v>201609</v>
      </c>
      <c r="F2046" s="22">
        <v>2016</v>
      </c>
    </row>
    <row r="2047" spans="1:6" ht="15.75">
      <c r="A2047" s="22" t="s">
        <v>1441</v>
      </c>
      <c r="B2047" s="26">
        <v>42628</v>
      </c>
      <c r="C2047" s="27">
        <v>0</v>
      </c>
      <c r="D2047" s="25" t="str">
        <f t="shared" si="62"/>
        <v>201637</v>
      </c>
      <c r="E2047" s="22" t="str">
        <f t="shared" ca="1" si="63"/>
        <v>201609</v>
      </c>
      <c r="F2047" s="22">
        <v>2016</v>
      </c>
    </row>
    <row r="2048" spans="1:6" ht="15.75">
      <c r="A2048" s="22" t="s">
        <v>1441</v>
      </c>
      <c r="B2048" s="26">
        <v>42629</v>
      </c>
      <c r="C2048" s="27">
        <v>10.87</v>
      </c>
      <c r="D2048" s="25" t="str">
        <f t="shared" si="62"/>
        <v>201637</v>
      </c>
      <c r="E2048" s="22" t="str">
        <f t="shared" ca="1" si="63"/>
        <v>201609</v>
      </c>
      <c r="F2048" s="22">
        <v>2016</v>
      </c>
    </row>
    <row r="2049" spans="1:6" ht="15.75">
      <c r="A2049" s="22" t="s">
        <v>1441</v>
      </c>
      <c r="B2049" s="26">
        <v>42630</v>
      </c>
      <c r="C2049" s="27">
        <v>15.02</v>
      </c>
      <c r="D2049" s="25" t="str">
        <f t="shared" si="62"/>
        <v>201637</v>
      </c>
      <c r="E2049" s="22" t="str">
        <f t="shared" ca="1" si="63"/>
        <v>201609</v>
      </c>
      <c r="F2049" s="22">
        <v>2016</v>
      </c>
    </row>
    <row r="2050" spans="1:6" ht="15.75">
      <c r="A2050" s="22" t="s">
        <v>1441</v>
      </c>
      <c r="B2050" s="26">
        <v>42631</v>
      </c>
      <c r="C2050" s="27">
        <v>20.09</v>
      </c>
      <c r="D2050" s="25" t="str">
        <f t="shared" si="62"/>
        <v>201637</v>
      </c>
      <c r="E2050" s="22" t="str">
        <f t="shared" ca="1" si="63"/>
        <v>201609</v>
      </c>
      <c r="F2050" s="22">
        <v>2016</v>
      </c>
    </row>
    <row r="2051" spans="1:6" ht="15.75">
      <c r="A2051" s="22" t="s">
        <v>1441</v>
      </c>
      <c r="B2051" s="26">
        <v>42632</v>
      </c>
      <c r="C2051" s="27">
        <v>26.71</v>
      </c>
      <c r="D2051" s="25" t="str">
        <f t="shared" ref="D2051:D2114" si="64">CONCATENATE(YEAR(B2051-WEEKDAY(B2051,3)+3),TEXT(WEEKNUM(B2051,21),"00"))</f>
        <v>201638</v>
      </c>
      <c r="E2051" s="22" t="str">
        <f t="shared" ref="E2051:E2114" ca="1" si="65">IF(
  AND(
    YEAR(B2051)=YEAR(TODAY())-1,
    MONTH(B2051)=MONTH(TODAY()),
    DAY(B2051)&gt;DAY($H$2)
  ),
  0,
  CONCATENATE(YEAR(B2051),TEXT(MONTH(B2051),"00"))
)</f>
        <v>201609</v>
      </c>
      <c r="F2051" s="22">
        <v>2016</v>
      </c>
    </row>
    <row r="2052" spans="1:6" ht="15.75">
      <c r="A2052" s="22" t="s">
        <v>1441</v>
      </c>
      <c r="B2052" s="26">
        <v>42633</v>
      </c>
      <c r="C2052" s="27">
        <v>39.4</v>
      </c>
      <c r="D2052" s="25" t="str">
        <f t="shared" si="64"/>
        <v>201638</v>
      </c>
      <c r="E2052" s="22" t="str">
        <f t="shared" ca="1" si="65"/>
        <v>201609</v>
      </c>
      <c r="F2052" s="22">
        <v>2016</v>
      </c>
    </row>
    <row r="2053" spans="1:6" ht="15.75">
      <c r="A2053" s="22" t="s">
        <v>1441</v>
      </c>
      <c r="B2053" s="26">
        <v>42634</v>
      </c>
      <c r="C2053" s="27">
        <v>43.86</v>
      </c>
      <c r="D2053" s="25" t="str">
        <f t="shared" si="64"/>
        <v>201638</v>
      </c>
      <c r="E2053" s="22" t="str">
        <f t="shared" ca="1" si="65"/>
        <v>201609</v>
      </c>
      <c r="F2053" s="22">
        <v>2016</v>
      </c>
    </row>
    <row r="2054" spans="1:6" ht="15.75">
      <c r="A2054" s="22" t="s">
        <v>1441</v>
      </c>
      <c r="B2054" s="26">
        <v>42635</v>
      </c>
      <c r="C2054" s="27">
        <v>41.49</v>
      </c>
      <c r="D2054" s="25" t="str">
        <f t="shared" si="64"/>
        <v>201638</v>
      </c>
      <c r="E2054" s="22" t="str">
        <f t="shared" ca="1" si="65"/>
        <v>201609</v>
      </c>
      <c r="F2054" s="22">
        <v>2016</v>
      </c>
    </row>
    <row r="2055" spans="1:6" ht="15.75">
      <c r="A2055" s="22" t="s">
        <v>1441</v>
      </c>
      <c r="B2055" s="26">
        <v>42636</v>
      </c>
      <c r="C2055" s="27">
        <v>40.299999999999997</v>
      </c>
      <c r="D2055" s="25" t="str">
        <f t="shared" si="64"/>
        <v>201638</v>
      </c>
      <c r="E2055" s="22" t="str">
        <f t="shared" ca="1" si="65"/>
        <v>201609</v>
      </c>
      <c r="F2055" s="22">
        <v>2016</v>
      </c>
    </row>
    <row r="2056" spans="1:6" ht="15.75">
      <c r="A2056" s="22" t="s">
        <v>1441</v>
      </c>
      <c r="B2056" s="26">
        <v>42637</v>
      </c>
      <c r="C2056" s="27">
        <v>33.880000000000003</v>
      </c>
      <c r="D2056" s="25" t="str">
        <f t="shared" si="64"/>
        <v>201638</v>
      </c>
      <c r="E2056" s="22" t="str">
        <f t="shared" ca="1" si="65"/>
        <v>201609</v>
      </c>
      <c r="F2056" s="22">
        <v>2016</v>
      </c>
    </row>
    <row r="2057" spans="1:6" ht="15.75">
      <c r="A2057" s="22" t="s">
        <v>1441</v>
      </c>
      <c r="B2057" s="26">
        <v>42638</v>
      </c>
      <c r="C2057" s="27">
        <v>40.07</v>
      </c>
      <c r="D2057" s="25" t="str">
        <f t="shared" si="64"/>
        <v>201638</v>
      </c>
      <c r="E2057" s="22" t="str">
        <f t="shared" ca="1" si="65"/>
        <v>201609</v>
      </c>
      <c r="F2057" s="22">
        <v>2016</v>
      </c>
    </row>
    <row r="2058" spans="1:6" ht="15.75">
      <c r="A2058" s="22" t="s">
        <v>1441</v>
      </c>
      <c r="B2058" s="26">
        <v>42639</v>
      </c>
      <c r="C2058" s="27">
        <v>40.92</v>
      </c>
      <c r="D2058" s="25" t="str">
        <f t="shared" si="64"/>
        <v>201639</v>
      </c>
      <c r="E2058" s="22" t="str">
        <f t="shared" ca="1" si="65"/>
        <v>201609</v>
      </c>
      <c r="F2058" s="22">
        <v>2016</v>
      </c>
    </row>
    <row r="2059" spans="1:6" ht="15.75">
      <c r="A2059" s="22" t="s">
        <v>1441</v>
      </c>
      <c r="B2059" s="26">
        <v>42640</v>
      </c>
      <c r="C2059" s="27">
        <v>11.42</v>
      </c>
      <c r="D2059" s="25" t="str">
        <f t="shared" si="64"/>
        <v>201639</v>
      </c>
      <c r="E2059" s="22" t="str">
        <f t="shared" ca="1" si="65"/>
        <v>201609</v>
      </c>
      <c r="F2059" s="22">
        <v>2016</v>
      </c>
    </row>
    <row r="2060" spans="1:6" ht="15.75">
      <c r="A2060" s="22" t="s">
        <v>1441</v>
      </c>
      <c r="B2060" s="26">
        <v>42641</v>
      </c>
      <c r="C2060" s="27">
        <v>0</v>
      </c>
      <c r="D2060" s="25" t="str">
        <f t="shared" si="64"/>
        <v>201639</v>
      </c>
      <c r="E2060" s="22" t="str">
        <f t="shared" ca="1" si="65"/>
        <v>201609</v>
      </c>
      <c r="F2060" s="22">
        <v>2016</v>
      </c>
    </row>
    <row r="2061" spans="1:6" ht="15.75">
      <c r="A2061" s="22" t="s">
        <v>1441</v>
      </c>
      <c r="B2061" s="26">
        <v>42642</v>
      </c>
      <c r="C2061" s="27">
        <v>0</v>
      </c>
      <c r="D2061" s="25" t="str">
        <f t="shared" si="64"/>
        <v>201639</v>
      </c>
      <c r="E2061" s="22" t="str">
        <f t="shared" ca="1" si="65"/>
        <v>201609</v>
      </c>
      <c r="F2061" s="22">
        <v>2016</v>
      </c>
    </row>
    <row r="2062" spans="1:6" ht="15.75">
      <c r="A2062" s="22" t="s">
        <v>1441</v>
      </c>
      <c r="B2062" s="26">
        <v>42643</v>
      </c>
      <c r="C2062" s="27">
        <v>0</v>
      </c>
      <c r="D2062" s="25" t="str">
        <f t="shared" si="64"/>
        <v>201639</v>
      </c>
      <c r="E2062" s="22" t="str">
        <f t="shared" ca="1" si="65"/>
        <v>201609</v>
      </c>
      <c r="F2062" s="22">
        <v>2016</v>
      </c>
    </row>
    <row r="2063" spans="1:6" ht="15.75">
      <c r="A2063" s="22" t="s">
        <v>1441</v>
      </c>
      <c r="B2063" s="26">
        <v>42644</v>
      </c>
      <c r="C2063" s="27">
        <v>0</v>
      </c>
      <c r="D2063" s="25" t="str">
        <f t="shared" si="64"/>
        <v>201639</v>
      </c>
      <c r="E2063" s="22" t="str">
        <f t="shared" ca="1" si="65"/>
        <v>201610</v>
      </c>
      <c r="F2063" s="22">
        <v>2016</v>
      </c>
    </row>
    <row r="2064" spans="1:6" ht="15.75">
      <c r="A2064" s="22" t="s">
        <v>1441</v>
      </c>
      <c r="B2064" s="26">
        <v>42645</v>
      </c>
      <c r="C2064" s="27">
        <v>0</v>
      </c>
      <c r="D2064" s="25" t="str">
        <f t="shared" si="64"/>
        <v>201639</v>
      </c>
      <c r="E2064" s="22" t="str">
        <f t="shared" ca="1" si="65"/>
        <v>201610</v>
      </c>
      <c r="F2064" s="22">
        <v>2016</v>
      </c>
    </row>
    <row r="2065" spans="1:6" ht="15.75">
      <c r="A2065" s="22" t="s">
        <v>1441</v>
      </c>
      <c r="B2065" s="26">
        <v>42646</v>
      </c>
      <c r="C2065" s="27">
        <v>0</v>
      </c>
      <c r="D2065" s="25" t="str">
        <f t="shared" si="64"/>
        <v>201640</v>
      </c>
      <c r="E2065" s="22" t="str">
        <f t="shared" ca="1" si="65"/>
        <v>201610</v>
      </c>
      <c r="F2065" s="22">
        <v>2016</v>
      </c>
    </row>
    <row r="2066" spans="1:6" ht="15.75">
      <c r="A2066" s="22" t="s">
        <v>1441</v>
      </c>
      <c r="B2066" s="26">
        <v>42647</v>
      </c>
      <c r="C2066" s="27">
        <v>0</v>
      </c>
      <c r="D2066" s="25" t="str">
        <f t="shared" si="64"/>
        <v>201640</v>
      </c>
      <c r="E2066" s="22" t="str">
        <f t="shared" ca="1" si="65"/>
        <v>201610</v>
      </c>
      <c r="F2066" s="22">
        <v>2016</v>
      </c>
    </row>
    <row r="2067" spans="1:6" ht="15.75">
      <c r="A2067" s="22" t="s">
        <v>1441</v>
      </c>
      <c r="B2067" s="26">
        <v>42648</v>
      </c>
      <c r="C2067" s="27">
        <v>0</v>
      </c>
      <c r="D2067" s="25" t="str">
        <f t="shared" si="64"/>
        <v>201640</v>
      </c>
      <c r="E2067" s="22" t="str">
        <f t="shared" ca="1" si="65"/>
        <v>201610</v>
      </c>
      <c r="F2067" s="22">
        <v>2016</v>
      </c>
    </row>
    <row r="2068" spans="1:6" ht="15.75">
      <c r="A2068" s="22" t="s">
        <v>1441</v>
      </c>
      <c r="B2068" s="26">
        <v>42649</v>
      </c>
      <c r="C2068" s="27">
        <v>0</v>
      </c>
      <c r="D2068" s="25" t="str">
        <f t="shared" si="64"/>
        <v>201640</v>
      </c>
      <c r="E2068" s="22" t="str">
        <f t="shared" ca="1" si="65"/>
        <v>201610</v>
      </c>
      <c r="F2068" s="22">
        <v>2016</v>
      </c>
    </row>
    <row r="2069" spans="1:6" ht="15.75">
      <c r="A2069" s="22" t="s">
        <v>1441</v>
      </c>
      <c r="B2069" s="26">
        <v>42650</v>
      </c>
      <c r="C2069" s="27">
        <v>0</v>
      </c>
      <c r="D2069" s="25" t="str">
        <f t="shared" si="64"/>
        <v>201640</v>
      </c>
      <c r="E2069" s="22" t="str">
        <f t="shared" ca="1" si="65"/>
        <v>201610</v>
      </c>
      <c r="F2069" s="22">
        <v>2016</v>
      </c>
    </row>
    <row r="2070" spans="1:6" ht="15.75">
      <c r="A2070" s="22" t="s">
        <v>1441</v>
      </c>
      <c r="B2070" s="26">
        <v>42651</v>
      </c>
      <c r="C2070" s="27">
        <v>0</v>
      </c>
      <c r="D2070" s="25" t="str">
        <f t="shared" si="64"/>
        <v>201640</v>
      </c>
      <c r="E2070" s="22" t="str">
        <f t="shared" ca="1" si="65"/>
        <v>201610</v>
      </c>
      <c r="F2070" s="22">
        <v>2016</v>
      </c>
    </row>
    <row r="2071" spans="1:6" ht="15.75">
      <c r="A2071" s="22" t="s">
        <v>1441</v>
      </c>
      <c r="B2071" s="26">
        <v>42652</v>
      </c>
      <c r="C2071" s="27">
        <v>0</v>
      </c>
      <c r="D2071" s="25" t="str">
        <f t="shared" si="64"/>
        <v>201640</v>
      </c>
      <c r="E2071" s="22" t="str">
        <f t="shared" ca="1" si="65"/>
        <v>201610</v>
      </c>
      <c r="F2071" s="22">
        <v>2016</v>
      </c>
    </row>
    <row r="2072" spans="1:6" ht="15.75">
      <c r="A2072" s="22" t="s">
        <v>1441</v>
      </c>
      <c r="B2072" s="26">
        <v>42653</v>
      </c>
      <c r="C2072" s="27">
        <v>0</v>
      </c>
      <c r="D2072" s="25" t="str">
        <f t="shared" si="64"/>
        <v>201641</v>
      </c>
      <c r="E2072" s="22" t="str">
        <f t="shared" ca="1" si="65"/>
        <v>201610</v>
      </c>
      <c r="F2072" s="22">
        <v>2016</v>
      </c>
    </row>
    <row r="2073" spans="1:6" ht="15.75">
      <c r="A2073" s="22" t="s">
        <v>1441</v>
      </c>
      <c r="B2073" s="26">
        <v>42654</v>
      </c>
      <c r="C2073" s="27">
        <v>0</v>
      </c>
      <c r="D2073" s="25" t="str">
        <f t="shared" si="64"/>
        <v>201641</v>
      </c>
      <c r="E2073" s="22" t="str">
        <f t="shared" ca="1" si="65"/>
        <v>201610</v>
      </c>
      <c r="F2073" s="22">
        <v>2016</v>
      </c>
    </row>
    <row r="2074" spans="1:6" ht="15.75">
      <c r="A2074" s="22" t="s">
        <v>1441</v>
      </c>
      <c r="B2074" s="26">
        <v>42655</v>
      </c>
      <c r="C2074" s="27">
        <v>0</v>
      </c>
      <c r="D2074" s="25" t="str">
        <f t="shared" si="64"/>
        <v>201641</v>
      </c>
      <c r="E2074" s="22" t="str">
        <f t="shared" ca="1" si="65"/>
        <v>201610</v>
      </c>
      <c r="F2074" s="22">
        <v>2016</v>
      </c>
    </row>
    <row r="2075" spans="1:6" ht="15.75">
      <c r="A2075" s="22" t="s">
        <v>1441</v>
      </c>
      <c r="B2075" s="26">
        <v>42656</v>
      </c>
      <c r="C2075" s="27">
        <v>0</v>
      </c>
      <c r="D2075" s="25" t="str">
        <f t="shared" si="64"/>
        <v>201641</v>
      </c>
      <c r="E2075" s="22" t="str">
        <f t="shared" ca="1" si="65"/>
        <v>201610</v>
      </c>
      <c r="F2075" s="22">
        <v>2016</v>
      </c>
    </row>
    <row r="2076" spans="1:6" ht="15.75">
      <c r="A2076" s="22" t="s">
        <v>1441</v>
      </c>
      <c r="B2076" s="26">
        <v>42657</v>
      </c>
      <c r="C2076" s="27">
        <v>0</v>
      </c>
      <c r="D2076" s="25" t="str">
        <f t="shared" si="64"/>
        <v>201641</v>
      </c>
      <c r="E2076" s="22" t="str">
        <f t="shared" ca="1" si="65"/>
        <v>201610</v>
      </c>
      <c r="F2076" s="22">
        <v>2016</v>
      </c>
    </row>
    <row r="2077" spans="1:6" ht="15.75">
      <c r="A2077" s="22" t="s">
        <v>1441</v>
      </c>
      <c r="B2077" s="26">
        <v>42658</v>
      </c>
      <c r="C2077" s="27">
        <v>0</v>
      </c>
      <c r="D2077" s="25" t="str">
        <f t="shared" si="64"/>
        <v>201641</v>
      </c>
      <c r="E2077" s="22" t="str">
        <f t="shared" ca="1" si="65"/>
        <v>201610</v>
      </c>
      <c r="F2077" s="22">
        <v>2016</v>
      </c>
    </row>
    <row r="2078" spans="1:6" ht="15.75">
      <c r="A2078" s="22" t="s">
        <v>1441</v>
      </c>
      <c r="B2078" s="26">
        <v>42659</v>
      </c>
      <c r="C2078" s="27">
        <v>0</v>
      </c>
      <c r="D2078" s="25" t="str">
        <f t="shared" si="64"/>
        <v>201641</v>
      </c>
      <c r="E2078" s="22" t="str">
        <f t="shared" ca="1" si="65"/>
        <v>201610</v>
      </c>
      <c r="F2078" s="22">
        <v>2016</v>
      </c>
    </row>
    <row r="2079" spans="1:6" ht="15.75">
      <c r="A2079" s="22" t="s">
        <v>1441</v>
      </c>
      <c r="B2079" s="26">
        <v>42660</v>
      </c>
      <c r="C2079" s="27">
        <v>0</v>
      </c>
      <c r="D2079" s="25" t="str">
        <f t="shared" si="64"/>
        <v>201642</v>
      </c>
      <c r="E2079" s="22" t="str">
        <f t="shared" ca="1" si="65"/>
        <v>201610</v>
      </c>
      <c r="F2079" s="22">
        <v>2016</v>
      </c>
    </row>
    <row r="2080" spans="1:6" ht="15.75">
      <c r="A2080" s="22" t="s">
        <v>1441</v>
      </c>
      <c r="B2080" s="26">
        <v>42661</v>
      </c>
      <c r="C2080" s="27">
        <v>0</v>
      </c>
      <c r="D2080" s="25" t="str">
        <f t="shared" si="64"/>
        <v>201642</v>
      </c>
      <c r="E2080" s="22" t="str">
        <f t="shared" ca="1" si="65"/>
        <v>201610</v>
      </c>
      <c r="F2080" s="22">
        <v>2016</v>
      </c>
    </row>
    <row r="2081" spans="1:6" ht="15.75">
      <c r="A2081" s="22" t="s">
        <v>1441</v>
      </c>
      <c r="B2081" s="26">
        <v>42662</v>
      </c>
      <c r="C2081" s="27">
        <v>3.02</v>
      </c>
      <c r="D2081" s="25" t="str">
        <f t="shared" si="64"/>
        <v>201642</v>
      </c>
      <c r="E2081" s="22" t="str">
        <f t="shared" ca="1" si="65"/>
        <v>201610</v>
      </c>
      <c r="F2081" s="22">
        <v>2016</v>
      </c>
    </row>
    <row r="2082" spans="1:6" ht="15.75">
      <c r="A2082" s="22" t="s">
        <v>1441</v>
      </c>
      <c r="B2082" s="26">
        <v>42663</v>
      </c>
      <c r="C2082" s="27">
        <v>4.09</v>
      </c>
      <c r="D2082" s="25" t="str">
        <f t="shared" si="64"/>
        <v>201642</v>
      </c>
      <c r="E2082" s="22" t="str">
        <f t="shared" ca="1" si="65"/>
        <v>201610</v>
      </c>
      <c r="F2082" s="22">
        <v>2016</v>
      </c>
    </row>
    <row r="2083" spans="1:6" ht="15.75">
      <c r="A2083" s="22" t="s">
        <v>1441</v>
      </c>
      <c r="B2083" s="26">
        <v>42664</v>
      </c>
      <c r="C2083" s="27">
        <v>4.51</v>
      </c>
      <c r="D2083" s="25" t="str">
        <f t="shared" si="64"/>
        <v>201642</v>
      </c>
      <c r="E2083" s="22" t="str">
        <f t="shared" ca="1" si="65"/>
        <v>201610</v>
      </c>
      <c r="F2083" s="22">
        <v>2016</v>
      </c>
    </row>
    <row r="2084" spans="1:6" ht="15.75">
      <c r="A2084" s="22" t="s">
        <v>1441</v>
      </c>
      <c r="B2084" s="26">
        <v>42665</v>
      </c>
      <c r="C2084" s="27">
        <v>4.51</v>
      </c>
      <c r="D2084" s="25" t="str">
        <f t="shared" si="64"/>
        <v>201642</v>
      </c>
      <c r="E2084" s="22" t="str">
        <f t="shared" ca="1" si="65"/>
        <v>201610</v>
      </c>
      <c r="F2084" s="22">
        <v>2016</v>
      </c>
    </row>
    <row r="2085" spans="1:6" ht="15.75">
      <c r="A2085" s="22" t="s">
        <v>1441</v>
      </c>
      <c r="B2085" s="26">
        <v>42666</v>
      </c>
      <c r="C2085" s="27">
        <v>0.87</v>
      </c>
      <c r="D2085" s="25" t="str">
        <f t="shared" si="64"/>
        <v>201642</v>
      </c>
      <c r="E2085" s="22" t="str">
        <f t="shared" ca="1" si="65"/>
        <v>201610</v>
      </c>
      <c r="F2085" s="22">
        <v>2016</v>
      </c>
    </row>
    <row r="2086" spans="1:6" ht="15.75">
      <c r="A2086" s="22" t="s">
        <v>1441</v>
      </c>
      <c r="B2086" s="26">
        <v>42667</v>
      </c>
      <c r="C2086" s="27">
        <v>0</v>
      </c>
      <c r="D2086" s="25" t="str">
        <f t="shared" si="64"/>
        <v>201643</v>
      </c>
      <c r="E2086" s="22" t="str">
        <f t="shared" ca="1" si="65"/>
        <v>201610</v>
      </c>
      <c r="F2086" s="22">
        <v>2016</v>
      </c>
    </row>
    <row r="2087" spans="1:6" ht="15.75">
      <c r="A2087" s="22" t="s">
        <v>1441</v>
      </c>
      <c r="B2087" s="26">
        <v>42668</v>
      </c>
      <c r="C2087" s="27">
        <v>0</v>
      </c>
      <c r="D2087" s="25" t="str">
        <f t="shared" si="64"/>
        <v>201643</v>
      </c>
      <c r="E2087" s="22" t="str">
        <f t="shared" ca="1" si="65"/>
        <v>201610</v>
      </c>
      <c r="F2087" s="22">
        <v>2016</v>
      </c>
    </row>
    <row r="2088" spans="1:6" ht="15.75">
      <c r="A2088" s="22" t="s">
        <v>1441</v>
      </c>
      <c r="B2088" s="26">
        <v>42669</v>
      </c>
      <c r="C2088" s="27">
        <v>0</v>
      </c>
      <c r="D2088" s="25" t="str">
        <f t="shared" si="64"/>
        <v>201643</v>
      </c>
      <c r="E2088" s="22" t="str">
        <f t="shared" ca="1" si="65"/>
        <v>201610</v>
      </c>
      <c r="F2088" s="22">
        <v>2016</v>
      </c>
    </row>
    <row r="2089" spans="1:6" ht="15.75">
      <c r="A2089" s="22" t="s">
        <v>1441</v>
      </c>
      <c r="B2089" s="26">
        <v>42670</v>
      </c>
      <c r="C2089" s="27">
        <v>0</v>
      </c>
      <c r="D2089" s="25" t="str">
        <f t="shared" si="64"/>
        <v>201643</v>
      </c>
      <c r="E2089" s="22" t="str">
        <f t="shared" ca="1" si="65"/>
        <v>201610</v>
      </c>
      <c r="F2089" s="22">
        <v>2016</v>
      </c>
    </row>
    <row r="2090" spans="1:6" ht="15.75">
      <c r="A2090" s="22" t="s">
        <v>1441</v>
      </c>
      <c r="B2090" s="26">
        <v>42671</v>
      </c>
      <c r="C2090" s="27">
        <v>0</v>
      </c>
      <c r="D2090" s="25" t="str">
        <f t="shared" si="64"/>
        <v>201643</v>
      </c>
      <c r="E2090" s="22" t="str">
        <f t="shared" ca="1" si="65"/>
        <v>201610</v>
      </c>
      <c r="F2090" s="22">
        <v>2016</v>
      </c>
    </row>
    <row r="2091" spans="1:6" ht="15.75">
      <c r="A2091" s="22" t="s">
        <v>1441</v>
      </c>
      <c r="B2091" s="26">
        <v>42672</v>
      </c>
      <c r="C2091" s="27">
        <v>0</v>
      </c>
      <c r="D2091" s="25" t="str">
        <f t="shared" si="64"/>
        <v>201643</v>
      </c>
      <c r="E2091" s="22" t="str">
        <f t="shared" ca="1" si="65"/>
        <v>201610</v>
      </c>
      <c r="F2091" s="22">
        <v>2016</v>
      </c>
    </row>
    <row r="2092" spans="1:6" ht="15.75">
      <c r="A2092" s="22" t="s">
        <v>1441</v>
      </c>
      <c r="B2092" s="26">
        <v>42673</v>
      </c>
      <c r="C2092" s="27">
        <v>0</v>
      </c>
      <c r="D2092" s="25" t="str">
        <f t="shared" si="64"/>
        <v>201643</v>
      </c>
      <c r="E2092" s="22" t="str">
        <f t="shared" ca="1" si="65"/>
        <v>201610</v>
      </c>
      <c r="F2092" s="22">
        <v>2016</v>
      </c>
    </row>
    <row r="2093" spans="1:6" ht="15.75">
      <c r="A2093" s="22" t="s">
        <v>1441</v>
      </c>
      <c r="B2093" s="26">
        <v>42674</v>
      </c>
      <c r="C2093" s="27">
        <v>0</v>
      </c>
      <c r="D2093" s="25" t="str">
        <f t="shared" si="64"/>
        <v>201644</v>
      </c>
      <c r="E2093" s="22" t="str">
        <f t="shared" ca="1" si="65"/>
        <v>201610</v>
      </c>
      <c r="F2093" s="22">
        <v>2016</v>
      </c>
    </row>
    <row r="2094" spans="1:6" ht="15.75">
      <c r="A2094" s="22" t="s">
        <v>1441</v>
      </c>
      <c r="B2094" s="26">
        <v>42675</v>
      </c>
      <c r="C2094" s="27">
        <v>0</v>
      </c>
      <c r="D2094" s="25" t="str">
        <f t="shared" si="64"/>
        <v>201644</v>
      </c>
      <c r="E2094" s="22" t="str">
        <f t="shared" ca="1" si="65"/>
        <v>201611</v>
      </c>
      <c r="F2094" s="22">
        <v>2017</v>
      </c>
    </row>
    <row r="2095" spans="1:6" ht="15.75">
      <c r="A2095" s="22" t="s">
        <v>1441</v>
      </c>
      <c r="B2095" s="26">
        <v>42676</v>
      </c>
      <c r="C2095" s="27">
        <v>0</v>
      </c>
      <c r="D2095" s="25" t="str">
        <f t="shared" si="64"/>
        <v>201644</v>
      </c>
      <c r="E2095" s="22" t="str">
        <f t="shared" ca="1" si="65"/>
        <v>201611</v>
      </c>
      <c r="F2095" s="22">
        <v>2017</v>
      </c>
    </row>
    <row r="2096" spans="1:6" ht="15.75">
      <c r="A2096" s="22" t="s">
        <v>1441</v>
      </c>
      <c r="B2096" s="26">
        <v>42677</v>
      </c>
      <c r="C2096" s="27">
        <v>0</v>
      </c>
      <c r="D2096" s="25" t="str">
        <f t="shared" si="64"/>
        <v>201644</v>
      </c>
      <c r="E2096" s="22" t="str">
        <f t="shared" ca="1" si="65"/>
        <v>201611</v>
      </c>
      <c r="F2096" s="22">
        <v>2017</v>
      </c>
    </row>
    <row r="2097" spans="1:6" ht="15.75">
      <c r="A2097" s="22" t="s">
        <v>1441</v>
      </c>
      <c r="B2097" s="26">
        <v>42678</v>
      </c>
      <c r="C2097" s="27">
        <v>0</v>
      </c>
      <c r="D2097" s="25" t="str">
        <f t="shared" si="64"/>
        <v>201644</v>
      </c>
      <c r="E2097" s="22" t="str">
        <f t="shared" ca="1" si="65"/>
        <v>201611</v>
      </c>
      <c r="F2097" s="22">
        <v>2017</v>
      </c>
    </row>
    <row r="2098" spans="1:6" ht="15.75">
      <c r="A2098" s="22" t="s">
        <v>1441</v>
      </c>
      <c r="B2098" s="26">
        <v>42679</v>
      </c>
      <c r="C2098" s="27">
        <v>0</v>
      </c>
      <c r="D2098" s="25" t="str">
        <f t="shared" si="64"/>
        <v>201644</v>
      </c>
      <c r="E2098" s="22" t="str">
        <f t="shared" ca="1" si="65"/>
        <v>201611</v>
      </c>
      <c r="F2098" s="22">
        <v>2017</v>
      </c>
    </row>
    <row r="2099" spans="1:6" ht="15.75">
      <c r="A2099" s="22" t="s">
        <v>1441</v>
      </c>
      <c r="B2099" s="26">
        <v>42680</v>
      </c>
      <c r="C2099" s="27">
        <v>0</v>
      </c>
      <c r="D2099" s="25" t="str">
        <f t="shared" si="64"/>
        <v>201644</v>
      </c>
      <c r="E2099" s="22" t="str">
        <f t="shared" ca="1" si="65"/>
        <v>201611</v>
      </c>
      <c r="F2099" s="22">
        <v>2017</v>
      </c>
    </row>
    <row r="2100" spans="1:6" ht="15.75">
      <c r="A2100" s="22" t="s">
        <v>1441</v>
      </c>
      <c r="B2100" s="26">
        <v>42681</v>
      </c>
      <c r="C2100" s="27">
        <v>0</v>
      </c>
      <c r="D2100" s="25" t="str">
        <f t="shared" si="64"/>
        <v>201645</v>
      </c>
      <c r="E2100" s="22" t="str">
        <f t="shared" ca="1" si="65"/>
        <v>201611</v>
      </c>
      <c r="F2100" s="22">
        <v>2017</v>
      </c>
    </row>
    <row r="2101" spans="1:6" ht="15.75">
      <c r="A2101" s="22" t="s">
        <v>1441</v>
      </c>
      <c r="B2101" s="26">
        <v>42682</v>
      </c>
      <c r="C2101" s="27">
        <v>0</v>
      </c>
      <c r="D2101" s="25" t="str">
        <f t="shared" si="64"/>
        <v>201645</v>
      </c>
      <c r="E2101" s="22" t="str">
        <f t="shared" ca="1" si="65"/>
        <v>201611</v>
      </c>
      <c r="F2101" s="22">
        <v>2017</v>
      </c>
    </row>
    <row r="2102" spans="1:6" ht="15.75">
      <c r="A2102" s="22" t="s">
        <v>1441</v>
      </c>
      <c r="B2102" s="26">
        <v>42683</v>
      </c>
      <c r="C2102" s="27">
        <v>0</v>
      </c>
      <c r="D2102" s="25" t="str">
        <f t="shared" si="64"/>
        <v>201645</v>
      </c>
      <c r="E2102" s="22" t="str">
        <f t="shared" ca="1" si="65"/>
        <v>201611</v>
      </c>
      <c r="F2102" s="22">
        <v>2017</v>
      </c>
    </row>
    <row r="2103" spans="1:6" ht="15.75">
      <c r="A2103" s="22" t="s">
        <v>1441</v>
      </c>
      <c r="B2103" s="26">
        <v>42684</v>
      </c>
      <c r="C2103" s="27">
        <v>0</v>
      </c>
      <c r="D2103" s="25" t="str">
        <f t="shared" si="64"/>
        <v>201645</v>
      </c>
      <c r="E2103" s="22" t="str">
        <f t="shared" ca="1" si="65"/>
        <v>201611</v>
      </c>
      <c r="F2103" s="22">
        <v>2017</v>
      </c>
    </row>
    <row r="2104" spans="1:6" ht="15.75">
      <c r="A2104" s="22" t="s">
        <v>1441</v>
      </c>
      <c r="B2104" s="26">
        <v>42685</v>
      </c>
      <c r="C2104" s="27">
        <v>0</v>
      </c>
      <c r="D2104" s="25" t="str">
        <f t="shared" si="64"/>
        <v>201645</v>
      </c>
      <c r="E2104" s="22" t="str">
        <f t="shared" ca="1" si="65"/>
        <v>201611</v>
      </c>
      <c r="F2104" s="22">
        <v>2017</v>
      </c>
    </row>
    <row r="2105" spans="1:6" ht="15.75">
      <c r="A2105" s="22" t="s">
        <v>1441</v>
      </c>
      <c r="B2105" s="26">
        <v>42686</v>
      </c>
      <c r="C2105" s="27">
        <v>0</v>
      </c>
      <c r="D2105" s="25" t="str">
        <f t="shared" si="64"/>
        <v>201645</v>
      </c>
      <c r="E2105" s="22" t="str">
        <f t="shared" ca="1" si="65"/>
        <v>201611</v>
      </c>
      <c r="F2105" s="22">
        <v>2017</v>
      </c>
    </row>
    <row r="2106" spans="1:6" ht="15.75">
      <c r="A2106" s="22" t="s">
        <v>1441</v>
      </c>
      <c r="B2106" s="26">
        <v>42687</v>
      </c>
      <c r="C2106" s="27">
        <v>0</v>
      </c>
      <c r="D2106" s="25" t="str">
        <f t="shared" si="64"/>
        <v>201645</v>
      </c>
      <c r="E2106" s="22" t="str">
        <f t="shared" ca="1" si="65"/>
        <v>201611</v>
      </c>
      <c r="F2106" s="22">
        <v>2017</v>
      </c>
    </row>
    <row r="2107" spans="1:6" ht="15.75">
      <c r="A2107" s="22" t="s">
        <v>1441</v>
      </c>
      <c r="B2107" s="26">
        <v>42688</v>
      </c>
      <c r="C2107" s="27">
        <v>0</v>
      </c>
      <c r="D2107" s="25" t="str">
        <f t="shared" si="64"/>
        <v>201646</v>
      </c>
      <c r="E2107" s="22" t="str">
        <f t="shared" ca="1" si="65"/>
        <v>201611</v>
      </c>
      <c r="F2107" s="22">
        <v>2017</v>
      </c>
    </row>
    <row r="2108" spans="1:6" ht="15.75">
      <c r="A2108" s="22" t="s">
        <v>1441</v>
      </c>
      <c r="B2108" s="26">
        <v>42689</v>
      </c>
      <c r="C2108" s="27">
        <v>0</v>
      </c>
      <c r="D2108" s="25" t="str">
        <f t="shared" si="64"/>
        <v>201646</v>
      </c>
      <c r="E2108" s="22" t="str">
        <f t="shared" ca="1" si="65"/>
        <v>201611</v>
      </c>
      <c r="F2108" s="22">
        <v>2017</v>
      </c>
    </row>
    <row r="2109" spans="1:6" ht="15.75">
      <c r="A2109" s="22" t="s">
        <v>1441</v>
      </c>
      <c r="B2109" s="26">
        <v>42690</v>
      </c>
      <c r="C2109" s="27">
        <v>0</v>
      </c>
      <c r="D2109" s="25" t="str">
        <f t="shared" si="64"/>
        <v>201646</v>
      </c>
      <c r="E2109" s="22" t="str">
        <f t="shared" ca="1" si="65"/>
        <v>201611</v>
      </c>
      <c r="F2109" s="22">
        <v>2017</v>
      </c>
    </row>
    <row r="2110" spans="1:6" ht="15.75">
      <c r="A2110" s="22" t="s">
        <v>1441</v>
      </c>
      <c r="B2110" s="26">
        <v>42691</v>
      </c>
      <c r="C2110" s="27">
        <v>0</v>
      </c>
      <c r="D2110" s="25" t="str">
        <f t="shared" si="64"/>
        <v>201646</v>
      </c>
      <c r="E2110" s="22" t="str">
        <f t="shared" ca="1" si="65"/>
        <v>201611</v>
      </c>
      <c r="F2110" s="22">
        <v>2017</v>
      </c>
    </row>
    <row r="2111" spans="1:6" ht="15.75">
      <c r="A2111" s="22" t="s">
        <v>1441</v>
      </c>
      <c r="B2111" s="26">
        <v>42692</v>
      </c>
      <c r="C2111" s="27">
        <v>0</v>
      </c>
      <c r="D2111" s="25" t="str">
        <f t="shared" si="64"/>
        <v>201646</v>
      </c>
      <c r="E2111" s="22" t="str">
        <f t="shared" ca="1" si="65"/>
        <v>201611</v>
      </c>
      <c r="F2111" s="22">
        <v>2017</v>
      </c>
    </row>
    <row r="2112" spans="1:6" ht="15.75">
      <c r="A2112" s="22" t="s">
        <v>1441</v>
      </c>
      <c r="B2112" s="26">
        <v>42693</v>
      </c>
      <c r="C2112" s="27">
        <v>0</v>
      </c>
      <c r="D2112" s="25" t="str">
        <f t="shared" si="64"/>
        <v>201646</v>
      </c>
      <c r="E2112" s="22" t="str">
        <f t="shared" ca="1" si="65"/>
        <v>201611</v>
      </c>
      <c r="F2112" s="22">
        <v>2017</v>
      </c>
    </row>
    <row r="2113" spans="1:6" ht="15.75">
      <c r="A2113" s="22" t="s">
        <v>1441</v>
      </c>
      <c r="B2113" s="26">
        <v>42694</v>
      </c>
      <c r="C2113" s="27">
        <v>0</v>
      </c>
      <c r="D2113" s="25" t="str">
        <f t="shared" si="64"/>
        <v>201646</v>
      </c>
      <c r="E2113" s="22" t="str">
        <f t="shared" ca="1" si="65"/>
        <v>201611</v>
      </c>
      <c r="F2113" s="22">
        <v>2017</v>
      </c>
    </row>
    <row r="2114" spans="1:6" ht="15.75">
      <c r="A2114" s="22" t="s">
        <v>1441</v>
      </c>
      <c r="B2114" s="26">
        <v>42695</v>
      </c>
      <c r="C2114" s="27">
        <v>0</v>
      </c>
      <c r="D2114" s="25" t="str">
        <f t="shared" si="64"/>
        <v>201647</v>
      </c>
      <c r="E2114" s="22" t="str">
        <f t="shared" ca="1" si="65"/>
        <v>201611</v>
      </c>
      <c r="F2114" s="22">
        <v>2017</v>
      </c>
    </row>
    <row r="2115" spans="1:6" ht="15.75">
      <c r="A2115" s="22" t="s">
        <v>1441</v>
      </c>
      <c r="B2115" s="26">
        <v>42696</v>
      </c>
      <c r="C2115" s="27">
        <v>0</v>
      </c>
      <c r="D2115" s="25" t="str">
        <f t="shared" ref="D2115:D2178" si="66">CONCATENATE(YEAR(B2115-WEEKDAY(B2115,3)+3),TEXT(WEEKNUM(B2115,21),"00"))</f>
        <v>201647</v>
      </c>
      <c r="E2115" s="22" t="str">
        <f t="shared" ref="E2115:E2178" ca="1" si="67">IF(
  AND(
    YEAR(B2115)=YEAR(TODAY())-1,
    MONTH(B2115)=MONTH(TODAY()),
    DAY(B2115)&gt;DAY($H$2)
  ),
  0,
  CONCATENATE(YEAR(B2115),TEXT(MONTH(B2115),"00"))
)</f>
        <v>201611</v>
      </c>
      <c r="F2115" s="22">
        <v>2017</v>
      </c>
    </row>
    <row r="2116" spans="1:6" ht="15.75">
      <c r="A2116" s="22" t="s">
        <v>1441</v>
      </c>
      <c r="B2116" s="26">
        <v>42697</v>
      </c>
      <c r="C2116" s="27">
        <v>0</v>
      </c>
      <c r="D2116" s="25" t="str">
        <f t="shared" si="66"/>
        <v>201647</v>
      </c>
      <c r="E2116" s="22" t="str">
        <f t="shared" ca="1" si="67"/>
        <v>201611</v>
      </c>
      <c r="F2116" s="22">
        <v>2017</v>
      </c>
    </row>
    <row r="2117" spans="1:6" ht="15.75">
      <c r="A2117" s="22" t="s">
        <v>1441</v>
      </c>
      <c r="B2117" s="26">
        <v>42698</v>
      </c>
      <c r="C2117" s="27">
        <v>0</v>
      </c>
      <c r="D2117" s="25" t="str">
        <f t="shared" si="66"/>
        <v>201647</v>
      </c>
      <c r="E2117" s="22" t="str">
        <f t="shared" ca="1" si="67"/>
        <v>201611</v>
      </c>
      <c r="F2117" s="22">
        <v>2017</v>
      </c>
    </row>
    <row r="2118" spans="1:6" ht="15.75">
      <c r="A2118" s="22" t="s">
        <v>1441</v>
      </c>
      <c r="B2118" s="26">
        <v>42699</v>
      </c>
      <c r="C2118" s="27">
        <v>0</v>
      </c>
      <c r="D2118" s="25" t="str">
        <f t="shared" si="66"/>
        <v>201647</v>
      </c>
      <c r="E2118" s="22" t="str">
        <f t="shared" ca="1" si="67"/>
        <v>201611</v>
      </c>
      <c r="F2118" s="22">
        <v>2017</v>
      </c>
    </row>
    <row r="2119" spans="1:6" ht="15.75">
      <c r="A2119" s="22" t="s">
        <v>1441</v>
      </c>
      <c r="B2119" s="26">
        <v>42700</v>
      </c>
      <c r="C2119" s="27">
        <v>0</v>
      </c>
      <c r="D2119" s="25" t="str">
        <f t="shared" si="66"/>
        <v>201647</v>
      </c>
      <c r="E2119" s="22" t="str">
        <f t="shared" ca="1" si="67"/>
        <v>201611</v>
      </c>
      <c r="F2119" s="22">
        <v>2017</v>
      </c>
    </row>
    <row r="2120" spans="1:6" ht="15.75">
      <c r="A2120" s="22" t="s">
        <v>1441</v>
      </c>
      <c r="B2120" s="26">
        <v>42701</v>
      </c>
      <c r="C2120" s="27">
        <v>0</v>
      </c>
      <c r="D2120" s="25" t="str">
        <f t="shared" si="66"/>
        <v>201647</v>
      </c>
      <c r="E2120" s="22" t="str">
        <f t="shared" ca="1" si="67"/>
        <v>201611</v>
      </c>
      <c r="F2120" s="22">
        <v>2017</v>
      </c>
    </row>
    <row r="2121" spans="1:6" ht="15.75">
      <c r="A2121" s="22" t="s">
        <v>1441</v>
      </c>
      <c r="B2121" s="26">
        <v>42702</v>
      </c>
      <c r="C2121" s="27">
        <v>0</v>
      </c>
      <c r="D2121" s="25" t="str">
        <f t="shared" si="66"/>
        <v>201648</v>
      </c>
      <c r="E2121" s="22" t="str">
        <f t="shared" ca="1" si="67"/>
        <v>201611</v>
      </c>
      <c r="F2121" s="22">
        <v>2017</v>
      </c>
    </row>
    <row r="2122" spans="1:6" ht="15.75">
      <c r="A2122" s="22" t="s">
        <v>1441</v>
      </c>
      <c r="B2122" s="26">
        <v>42703</v>
      </c>
      <c r="C2122" s="27">
        <v>0</v>
      </c>
      <c r="D2122" s="25" t="str">
        <f t="shared" si="66"/>
        <v>201648</v>
      </c>
      <c r="E2122" s="22" t="str">
        <f t="shared" ca="1" si="67"/>
        <v>201611</v>
      </c>
      <c r="F2122" s="22">
        <v>2017</v>
      </c>
    </row>
    <row r="2123" spans="1:6" ht="15.75">
      <c r="A2123" s="22" t="s">
        <v>1441</v>
      </c>
      <c r="B2123" s="26">
        <v>42704</v>
      </c>
      <c r="C2123" s="27">
        <v>0</v>
      </c>
      <c r="D2123" s="25" t="str">
        <f t="shared" si="66"/>
        <v>201648</v>
      </c>
      <c r="E2123" s="22" t="str">
        <f t="shared" ca="1" si="67"/>
        <v>201611</v>
      </c>
      <c r="F2123" s="22">
        <v>2017</v>
      </c>
    </row>
    <row r="2124" spans="1:6" ht="15.75">
      <c r="A2124" s="22" t="s">
        <v>1441</v>
      </c>
      <c r="B2124" s="26">
        <v>42705</v>
      </c>
      <c r="C2124" s="27">
        <v>0</v>
      </c>
      <c r="D2124" s="25" t="str">
        <f t="shared" si="66"/>
        <v>201648</v>
      </c>
      <c r="E2124" s="22" t="str">
        <f t="shared" ca="1" si="67"/>
        <v>201612</v>
      </c>
      <c r="F2124" s="22">
        <v>2017</v>
      </c>
    </row>
    <row r="2125" spans="1:6" ht="15.75">
      <c r="A2125" s="22" t="s">
        <v>1441</v>
      </c>
      <c r="B2125" s="26">
        <v>42706</v>
      </c>
      <c r="C2125" s="27">
        <v>0</v>
      </c>
      <c r="D2125" s="25" t="str">
        <f t="shared" si="66"/>
        <v>201648</v>
      </c>
      <c r="E2125" s="22" t="str">
        <f t="shared" ca="1" si="67"/>
        <v>201612</v>
      </c>
      <c r="F2125" s="22">
        <v>2017</v>
      </c>
    </row>
    <row r="2126" spans="1:6" ht="15.75">
      <c r="A2126" s="22" t="s">
        <v>1441</v>
      </c>
      <c r="B2126" s="26">
        <v>42707</v>
      </c>
      <c r="C2126" s="27">
        <v>0</v>
      </c>
      <c r="D2126" s="25" t="str">
        <f t="shared" si="66"/>
        <v>201648</v>
      </c>
      <c r="E2126" s="22" t="str">
        <f t="shared" ca="1" si="67"/>
        <v>201612</v>
      </c>
      <c r="F2126" s="22">
        <v>2017</v>
      </c>
    </row>
    <row r="2127" spans="1:6" ht="15.75">
      <c r="A2127" s="22" t="s">
        <v>1441</v>
      </c>
      <c r="B2127" s="26">
        <v>42708</v>
      </c>
      <c r="C2127" s="27">
        <v>0</v>
      </c>
      <c r="D2127" s="25" t="str">
        <f t="shared" si="66"/>
        <v>201648</v>
      </c>
      <c r="E2127" s="22" t="str">
        <f t="shared" ca="1" si="67"/>
        <v>201612</v>
      </c>
      <c r="F2127" s="22">
        <v>2017</v>
      </c>
    </row>
    <row r="2128" spans="1:6" ht="15.75">
      <c r="A2128" s="22" t="s">
        <v>1441</v>
      </c>
      <c r="B2128" s="26">
        <v>42709</v>
      </c>
      <c r="C2128" s="27">
        <v>0</v>
      </c>
      <c r="D2128" s="25" t="str">
        <f t="shared" si="66"/>
        <v>201649</v>
      </c>
      <c r="E2128" s="22" t="str">
        <f t="shared" ca="1" si="67"/>
        <v>201612</v>
      </c>
      <c r="F2128" s="22">
        <v>2017</v>
      </c>
    </row>
    <row r="2129" spans="1:6" ht="15.75">
      <c r="A2129" s="22" t="s">
        <v>1441</v>
      </c>
      <c r="B2129" s="26">
        <v>42710</v>
      </c>
      <c r="C2129" s="27">
        <v>0</v>
      </c>
      <c r="D2129" s="25" t="str">
        <f t="shared" si="66"/>
        <v>201649</v>
      </c>
      <c r="E2129" s="22" t="str">
        <f t="shared" ca="1" si="67"/>
        <v>201612</v>
      </c>
      <c r="F2129" s="22">
        <v>2017</v>
      </c>
    </row>
    <row r="2130" spans="1:6" ht="15.75">
      <c r="A2130" s="22" t="s">
        <v>1441</v>
      </c>
      <c r="B2130" s="26">
        <v>42711</v>
      </c>
      <c r="C2130" s="27">
        <v>0</v>
      </c>
      <c r="D2130" s="25" t="str">
        <f t="shared" si="66"/>
        <v>201649</v>
      </c>
      <c r="E2130" s="22" t="str">
        <f t="shared" ca="1" si="67"/>
        <v>201612</v>
      </c>
      <c r="F2130" s="22">
        <v>2017</v>
      </c>
    </row>
    <row r="2131" spans="1:6" ht="15.75">
      <c r="A2131" s="22" t="s">
        <v>1441</v>
      </c>
      <c r="B2131" s="26">
        <v>42712</v>
      </c>
      <c r="C2131" s="27">
        <v>0</v>
      </c>
      <c r="D2131" s="25" t="str">
        <f t="shared" si="66"/>
        <v>201649</v>
      </c>
      <c r="E2131" s="22" t="str">
        <f t="shared" ca="1" si="67"/>
        <v>201612</v>
      </c>
      <c r="F2131" s="22">
        <v>2017</v>
      </c>
    </row>
    <row r="2132" spans="1:6" ht="15.75">
      <c r="A2132" s="22" t="s">
        <v>1441</v>
      </c>
      <c r="B2132" s="26">
        <v>42713</v>
      </c>
      <c r="C2132" s="27">
        <v>0</v>
      </c>
      <c r="D2132" s="25" t="str">
        <f t="shared" si="66"/>
        <v>201649</v>
      </c>
      <c r="E2132" s="22" t="str">
        <f t="shared" ca="1" si="67"/>
        <v>201612</v>
      </c>
      <c r="F2132" s="22">
        <v>2017</v>
      </c>
    </row>
    <row r="2133" spans="1:6" ht="15.75">
      <c r="A2133" s="22" t="s">
        <v>1441</v>
      </c>
      <c r="B2133" s="26">
        <v>42714</v>
      </c>
      <c r="C2133" s="27">
        <v>0</v>
      </c>
      <c r="D2133" s="25" t="str">
        <f t="shared" si="66"/>
        <v>201649</v>
      </c>
      <c r="E2133" s="22" t="str">
        <f t="shared" ca="1" si="67"/>
        <v>201612</v>
      </c>
      <c r="F2133" s="22">
        <v>2017</v>
      </c>
    </row>
    <row r="2134" spans="1:6" ht="15.75">
      <c r="A2134" s="22" t="s">
        <v>1441</v>
      </c>
      <c r="B2134" s="26">
        <v>42715</v>
      </c>
      <c r="C2134" s="27">
        <v>0</v>
      </c>
      <c r="D2134" s="25" t="str">
        <f t="shared" si="66"/>
        <v>201649</v>
      </c>
      <c r="E2134" s="22" t="str">
        <f t="shared" ca="1" si="67"/>
        <v>201612</v>
      </c>
      <c r="F2134" s="22">
        <v>2017</v>
      </c>
    </row>
    <row r="2135" spans="1:6" ht="15.75">
      <c r="A2135" s="22" t="s">
        <v>1441</v>
      </c>
      <c r="B2135" s="26">
        <v>42716</v>
      </c>
      <c r="C2135" s="27">
        <v>0</v>
      </c>
      <c r="D2135" s="25" t="str">
        <f t="shared" si="66"/>
        <v>201650</v>
      </c>
      <c r="E2135" s="22" t="str">
        <f t="shared" ca="1" si="67"/>
        <v>201612</v>
      </c>
      <c r="F2135" s="22">
        <v>2017</v>
      </c>
    </row>
    <row r="2136" spans="1:6" ht="15.75">
      <c r="A2136" s="22" t="s">
        <v>1441</v>
      </c>
      <c r="B2136" s="26">
        <v>42717</v>
      </c>
      <c r="C2136" s="27">
        <v>0</v>
      </c>
      <c r="D2136" s="25" t="str">
        <f t="shared" si="66"/>
        <v>201650</v>
      </c>
      <c r="E2136" s="22" t="str">
        <f t="shared" ca="1" si="67"/>
        <v>201612</v>
      </c>
      <c r="F2136" s="22">
        <v>2017</v>
      </c>
    </row>
    <row r="2137" spans="1:6" ht="15.75">
      <c r="A2137" s="22" t="s">
        <v>1441</v>
      </c>
      <c r="B2137" s="26">
        <v>42718</v>
      </c>
      <c r="C2137" s="27">
        <v>0</v>
      </c>
      <c r="D2137" s="25" t="str">
        <f t="shared" si="66"/>
        <v>201650</v>
      </c>
      <c r="E2137" s="22" t="str">
        <f t="shared" ca="1" si="67"/>
        <v>201612</v>
      </c>
      <c r="F2137" s="22">
        <v>2017</v>
      </c>
    </row>
    <row r="2138" spans="1:6" ht="15.75">
      <c r="A2138" s="22" t="s">
        <v>1441</v>
      </c>
      <c r="B2138" s="26">
        <v>42719</v>
      </c>
      <c r="C2138" s="27">
        <v>0</v>
      </c>
      <c r="D2138" s="25" t="str">
        <f t="shared" si="66"/>
        <v>201650</v>
      </c>
      <c r="E2138" s="22" t="str">
        <f t="shared" ca="1" si="67"/>
        <v>201612</v>
      </c>
      <c r="F2138" s="22">
        <v>2017</v>
      </c>
    </row>
    <row r="2139" spans="1:6" ht="15.75">
      <c r="A2139" s="22" t="s">
        <v>1441</v>
      </c>
      <c r="B2139" s="26">
        <v>42720</v>
      </c>
      <c r="C2139" s="27">
        <v>0</v>
      </c>
      <c r="D2139" s="25" t="str">
        <f t="shared" si="66"/>
        <v>201650</v>
      </c>
      <c r="E2139" s="22" t="str">
        <f t="shared" ca="1" si="67"/>
        <v>201612</v>
      </c>
      <c r="F2139" s="22">
        <v>2017</v>
      </c>
    </row>
    <row r="2140" spans="1:6" ht="15.75">
      <c r="A2140" s="22" t="s">
        <v>1441</v>
      </c>
      <c r="B2140" s="26">
        <v>42721</v>
      </c>
      <c r="C2140" s="27">
        <v>0</v>
      </c>
      <c r="D2140" s="25" t="str">
        <f t="shared" si="66"/>
        <v>201650</v>
      </c>
      <c r="E2140" s="22" t="str">
        <f t="shared" ca="1" si="67"/>
        <v>201612</v>
      </c>
      <c r="F2140" s="22">
        <v>2017</v>
      </c>
    </row>
    <row r="2141" spans="1:6" ht="15.75">
      <c r="A2141" s="22" t="s">
        <v>1441</v>
      </c>
      <c r="B2141" s="26">
        <v>42722</v>
      </c>
      <c r="C2141" s="27">
        <v>0</v>
      </c>
      <c r="D2141" s="25" t="str">
        <f t="shared" si="66"/>
        <v>201650</v>
      </c>
      <c r="E2141" s="22" t="str">
        <f t="shared" ca="1" si="67"/>
        <v>201612</v>
      </c>
      <c r="F2141" s="22">
        <v>2017</v>
      </c>
    </row>
    <row r="2142" spans="1:6" ht="15.75">
      <c r="A2142" s="22" t="s">
        <v>1441</v>
      </c>
      <c r="B2142" s="26">
        <v>42723</v>
      </c>
      <c r="C2142" s="27">
        <v>0</v>
      </c>
      <c r="D2142" s="25" t="str">
        <f t="shared" si="66"/>
        <v>201651</v>
      </c>
      <c r="E2142" s="22" t="str">
        <f t="shared" ca="1" si="67"/>
        <v>201612</v>
      </c>
      <c r="F2142" s="22">
        <v>2017</v>
      </c>
    </row>
    <row r="2143" spans="1:6" ht="15.75">
      <c r="A2143" s="22" t="s">
        <v>1441</v>
      </c>
      <c r="B2143" s="26">
        <v>42724</v>
      </c>
      <c r="C2143" s="27">
        <v>0</v>
      </c>
      <c r="D2143" s="25" t="str">
        <f t="shared" si="66"/>
        <v>201651</v>
      </c>
      <c r="E2143" s="22" t="str">
        <f t="shared" ca="1" si="67"/>
        <v>201612</v>
      </c>
      <c r="F2143" s="22">
        <v>2017</v>
      </c>
    </row>
    <row r="2144" spans="1:6" ht="15.75">
      <c r="A2144" s="22" t="s">
        <v>1441</v>
      </c>
      <c r="B2144" s="26">
        <v>42725</v>
      </c>
      <c r="C2144" s="27">
        <v>0</v>
      </c>
      <c r="D2144" s="25" t="str">
        <f t="shared" si="66"/>
        <v>201651</v>
      </c>
      <c r="E2144" s="22" t="str">
        <f t="shared" ca="1" si="67"/>
        <v>201612</v>
      </c>
      <c r="F2144" s="22">
        <v>2017</v>
      </c>
    </row>
    <row r="2145" spans="1:6" ht="15.75">
      <c r="A2145" s="22" t="s">
        <v>1441</v>
      </c>
      <c r="B2145" s="26">
        <v>42726</v>
      </c>
      <c r="C2145" s="27">
        <v>0</v>
      </c>
      <c r="D2145" s="25" t="str">
        <f t="shared" si="66"/>
        <v>201651</v>
      </c>
      <c r="E2145" s="22" t="str">
        <f t="shared" ca="1" si="67"/>
        <v>201612</v>
      </c>
      <c r="F2145" s="22">
        <v>2017</v>
      </c>
    </row>
    <row r="2146" spans="1:6" ht="15.75">
      <c r="A2146" s="22" t="s">
        <v>1441</v>
      </c>
      <c r="B2146" s="26">
        <v>42727</v>
      </c>
      <c r="C2146" s="27">
        <v>0</v>
      </c>
      <c r="D2146" s="25" t="str">
        <f t="shared" si="66"/>
        <v>201651</v>
      </c>
      <c r="E2146" s="22" t="str">
        <f t="shared" ca="1" si="67"/>
        <v>201612</v>
      </c>
      <c r="F2146" s="22">
        <v>2017</v>
      </c>
    </row>
    <row r="2147" spans="1:6" ht="15.75">
      <c r="A2147" s="22" t="s">
        <v>1441</v>
      </c>
      <c r="B2147" s="26">
        <v>42728</v>
      </c>
      <c r="C2147" s="27">
        <v>0</v>
      </c>
      <c r="D2147" s="25" t="str">
        <f t="shared" si="66"/>
        <v>201651</v>
      </c>
      <c r="E2147" s="22" t="str">
        <f t="shared" ca="1" si="67"/>
        <v>201612</v>
      </c>
      <c r="F2147" s="22">
        <v>2017</v>
      </c>
    </row>
    <row r="2148" spans="1:6" ht="15.75">
      <c r="A2148" s="22" t="s">
        <v>1441</v>
      </c>
      <c r="B2148" s="26">
        <v>42729</v>
      </c>
      <c r="C2148" s="27">
        <v>0</v>
      </c>
      <c r="D2148" s="25" t="str">
        <f t="shared" si="66"/>
        <v>201651</v>
      </c>
      <c r="E2148" s="22" t="str">
        <f t="shared" ca="1" si="67"/>
        <v>201612</v>
      </c>
      <c r="F2148" s="22">
        <v>2017</v>
      </c>
    </row>
    <row r="2149" spans="1:6" ht="15.75">
      <c r="A2149" s="22" t="s">
        <v>1441</v>
      </c>
      <c r="B2149" s="26">
        <v>42730</v>
      </c>
      <c r="C2149" s="27">
        <v>0</v>
      </c>
      <c r="D2149" s="25" t="str">
        <f t="shared" si="66"/>
        <v>201652</v>
      </c>
      <c r="E2149" s="22" t="str">
        <f t="shared" ca="1" si="67"/>
        <v>201612</v>
      </c>
      <c r="F2149" s="22">
        <v>2017</v>
      </c>
    </row>
    <row r="2150" spans="1:6" ht="15.75">
      <c r="A2150" s="22" t="s">
        <v>1441</v>
      </c>
      <c r="B2150" s="26">
        <v>42731</v>
      </c>
      <c r="C2150" s="27">
        <v>0</v>
      </c>
      <c r="D2150" s="25" t="str">
        <f t="shared" si="66"/>
        <v>201652</v>
      </c>
      <c r="E2150" s="22" t="str">
        <f t="shared" ca="1" si="67"/>
        <v>201612</v>
      </c>
      <c r="F2150" s="22">
        <v>2017</v>
      </c>
    </row>
    <row r="2151" spans="1:6" ht="15.75">
      <c r="A2151" s="22" t="s">
        <v>1441</v>
      </c>
      <c r="B2151" s="26">
        <v>42732</v>
      </c>
      <c r="C2151" s="27">
        <v>0</v>
      </c>
      <c r="D2151" s="25" t="str">
        <f t="shared" si="66"/>
        <v>201652</v>
      </c>
      <c r="E2151" s="22" t="str">
        <f t="shared" ca="1" si="67"/>
        <v>201612</v>
      </c>
      <c r="F2151" s="22">
        <v>2017</v>
      </c>
    </row>
    <row r="2152" spans="1:6" ht="15.75">
      <c r="A2152" s="22" t="s">
        <v>1441</v>
      </c>
      <c r="B2152" s="26">
        <v>42733</v>
      </c>
      <c r="C2152" s="27">
        <v>0</v>
      </c>
      <c r="D2152" s="25" t="str">
        <f t="shared" si="66"/>
        <v>201652</v>
      </c>
      <c r="E2152" s="22" t="str">
        <f t="shared" ca="1" si="67"/>
        <v>201612</v>
      </c>
      <c r="F2152" s="22">
        <v>2017</v>
      </c>
    </row>
    <row r="2153" spans="1:6" ht="15.75">
      <c r="A2153" s="22" t="s">
        <v>1441</v>
      </c>
      <c r="B2153" s="26">
        <v>42734</v>
      </c>
      <c r="C2153" s="27">
        <v>0</v>
      </c>
      <c r="D2153" s="25" t="str">
        <f t="shared" si="66"/>
        <v>201652</v>
      </c>
      <c r="E2153" s="22" t="str">
        <f t="shared" ca="1" si="67"/>
        <v>201612</v>
      </c>
      <c r="F2153" s="22">
        <v>2017</v>
      </c>
    </row>
    <row r="2154" spans="1:6" ht="15.75">
      <c r="A2154" s="22" t="s">
        <v>1441</v>
      </c>
      <c r="B2154" s="26">
        <v>42735</v>
      </c>
      <c r="C2154" s="27">
        <v>0</v>
      </c>
      <c r="D2154" s="25" t="str">
        <f t="shared" si="66"/>
        <v>201652</v>
      </c>
      <c r="E2154" s="22" t="str">
        <f t="shared" ca="1" si="67"/>
        <v>201612</v>
      </c>
      <c r="F2154" s="22">
        <v>2017</v>
      </c>
    </row>
    <row r="2155" spans="1:6" ht="15.75">
      <c r="A2155" s="22" t="s">
        <v>1441</v>
      </c>
      <c r="B2155" s="26">
        <v>42736</v>
      </c>
      <c r="C2155" s="27">
        <v>0</v>
      </c>
      <c r="D2155" s="25" t="str">
        <f t="shared" si="66"/>
        <v>201652</v>
      </c>
      <c r="E2155" s="22" t="str">
        <f t="shared" ca="1" si="67"/>
        <v>201701</v>
      </c>
      <c r="F2155" s="22">
        <v>2017</v>
      </c>
    </row>
    <row r="2156" spans="1:6" ht="15.75">
      <c r="A2156" s="22" t="s">
        <v>1441</v>
      </c>
      <c r="B2156" s="26">
        <v>42737</v>
      </c>
      <c r="C2156" s="27">
        <v>0</v>
      </c>
      <c r="D2156" s="25" t="str">
        <f t="shared" si="66"/>
        <v>201701</v>
      </c>
      <c r="E2156" s="22" t="str">
        <f t="shared" ca="1" si="67"/>
        <v>201701</v>
      </c>
      <c r="F2156" s="22">
        <v>2017</v>
      </c>
    </row>
    <row r="2157" spans="1:6" ht="15.75">
      <c r="A2157" s="22" t="s">
        <v>1441</v>
      </c>
      <c r="B2157" s="26">
        <v>42738</v>
      </c>
      <c r="C2157" s="27">
        <v>0</v>
      </c>
      <c r="D2157" s="25" t="str">
        <f t="shared" si="66"/>
        <v>201701</v>
      </c>
      <c r="E2157" s="22" t="str">
        <f t="shared" ca="1" si="67"/>
        <v>201701</v>
      </c>
      <c r="F2157" s="22">
        <v>2017</v>
      </c>
    </row>
    <row r="2158" spans="1:6" ht="15.75">
      <c r="A2158" s="22" t="s">
        <v>1441</v>
      </c>
      <c r="B2158" s="26">
        <v>42739</v>
      </c>
      <c r="C2158" s="27">
        <v>0</v>
      </c>
      <c r="D2158" s="25" t="str">
        <f t="shared" si="66"/>
        <v>201701</v>
      </c>
      <c r="E2158" s="22" t="str">
        <f t="shared" ca="1" si="67"/>
        <v>201701</v>
      </c>
      <c r="F2158" s="22">
        <v>2017</v>
      </c>
    </row>
    <row r="2159" spans="1:6" ht="15.75">
      <c r="A2159" s="22" t="s">
        <v>1441</v>
      </c>
      <c r="B2159" s="26">
        <v>42740</v>
      </c>
      <c r="C2159" s="27">
        <v>0</v>
      </c>
      <c r="D2159" s="25" t="str">
        <f t="shared" si="66"/>
        <v>201701</v>
      </c>
      <c r="E2159" s="22" t="str">
        <f t="shared" ca="1" si="67"/>
        <v>201701</v>
      </c>
      <c r="F2159" s="22">
        <v>2017</v>
      </c>
    </row>
    <row r="2160" spans="1:6" ht="15.75">
      <c r="A2160" s="22" t="s">
        <v>1441</v>
      </c>
      <c r="B2160" s="26">
        <v>42741</v>
      </c>
      <c r="C2160" s="27">
        <v>0</v>
      </c>
      <c r="D2160" s="25" t="str">
        <f t="shared" si="66"/>
        <v>201701</v>
      </c>
      <c r="E2160" s="22" t="str">
        <f t="shared" ca="1" si="67"/>
        <v>201701</v>
      </c>
      <c r="F2160" s="22">
        <v>2017</v>
      </c>
    </row>
    <row r="2161" spans="1:6" ht="15.75">
      <c r="A2161" s="22" t="s">
        <v>1441</v>
      </c>
      <c r="B2161" s="26">
        <v>42742</v>
      </c>
      <c r="C2161" s="27">
        <v>0</v>
      </c>
      <c r="D2161" s="25" t="str">
        <f t="shared" si="66"/>
        <v>201701</v>
      </c>
      <c r="E2161" s="22" t="str">
        <f t="shared" ca="1" si="67"/>
        <v>201701</v>
      </c>
      <c r="F2161" s="22">
        <v>2017</v>
      </c>
    </row>
    <row r="2162" spans="1:6" ht="15.75">
      <c r="A2162" s="22" t="s">
        <v>1441</v>
      </c>
      <c r="B2162" s="26">
        <v>42743</v>
      </c>
      <c r="C2162" s="27">
        <v>0</v>
      </c>
      <c r="D2162" s="25" t="str">
        <f t="shared" si="66"/>
        <v>201701</v>
      </c>
      <c r="E2162" s="22" t="str">
        <f t="shared" ca="1" si="67"/>
        <v>201701</v>
      </c>
      <c r="F2162" s="22">
        <v>2017</v>
      </c>
    </row>
    <row r="2163" spans="1:6" ht="15.75">
      <c r="A2163" s="22" t="s">
        <v>1441</v>
      </c>
      <c r="B2163" s="26">
        <v>42744</v>
      </c>
      <c r="C2163" s="27">
        <v>0</v>
      </c>
      <c r="D2163" s="25" t="str">
        <f t="shared" si="66"/>
        <v>201702</v>
      </c>
      <c r="E2163" s="22" t="str">
        <f t="shared" ca="1" si="67"/>
        <v>201701</v>
      </c>
      <c r="F2163" s="22">
        <v>2017</v>
      </c>
    </row>
    <row r="2164" spans="1:6" ht="15.75">
      <c r="A2164" s="22" t="s">
        <v>1441</v>
      </c>
      <c r="B2164" s="26">
        <v>42745</v>
      </c>
      <c r="C2164" s="27">
        <v>0</v>
      </c>
      <c r="D2164" s="25" t="str">
        <f t="shared" si="66"/>
        <v>201702</v>
      </c>
      <c r="E2164" s="22" t="str">
        <f t="shared" ca="1" si="67"/>
        <v>201701</v>
      </c>
      <c r="F2164" s="22">
        <v>2017</v>
      </c>
    </row>
    <row r="2165" spans="1:6" ht="15.75">
      <c r="A2165" s="22" t="s">
        <v>1441</v>
      </c>
      <c r="B2165" s="26">
        <v>42746</v>
      </c>
      <c r="C2165" s="27">
        <v>0</v>
      </c>
      <c r="D2165" s="25" t="str">
        <f t="shared" si="66"/>
        <v>201702</v>
      </c>
      <c r="E2165" s="22" t="str">
        <f t="shared" ca="1" si="67"/>
        <v>201701</v>
      </c>
      <c r="F2165" s="22">
        <v>2017</v>
      </c>
    </row>
    <row r="2166" spans="1:6" ht="15.75">
      <c r="A2166" s="22" t="s">
        <v>1441</v>
      </c>
      <c r="B2166" s="26">
        <v>42747</v>
      </c>
      <c r="C2166" s="27">
        <v>0</v>
      </c>
      <c r="D2166" s="25" t="str">
        <f t="shared" si="66"/>
        <v>201702</v>
      </c>
      <c r="E2166" s="22" t="str">
        <f t="shared" ca="1" si="67"/>
        <v>201701</v>
      </c>
      <c r="F2166" s="22">
        <v>2017</v>
      </c>
    </row>
    <row r="2167" spans="1:6" ht="15.75">
      <c r="A2167" s="22" t="s">
        <v>1441</v>
      </c>
      <c r="B2167" s="26">
        <v>42748</v>
      </c>
      <c r="C2167" s="27">
        <v>0</v>
      </c>
      <c r="D2167" s="25" t="str">
        <f t="shared" si="66"/>
        <v>201702</v>
      </c>
      <c r="E2167" s="22" t="str">
        <f t="shared" ca="1" si="67"/>
        <v>201701</v>
      </c>
      <c r="F2167" s="22">
        <v>2017</v>
      </c>
    </row>
    <row r="2168" spans="1:6" ht="15.75">
      <c r="A2168" s="22" t="s">
        <v>1441</v>
      </c>
      <c r="B2168" s="26">
        <v>42749</v>
      </c>
      <c r="C2168" s="27">
        <v>0</v>
      </c>
      <c r="D2168" s="25" t="str">
        <f t="shared" si="66"/>
        <v>201702</v>
      </c>
      <c r="E2168" s="22" t="str">
        <f t="shared" ca="1" si="67"/>
        <v>201701</v>
      </c>
      <c r="F2168" s="22">
        <v>2017</v>
      </c>
    </row>
    <row r="2169" spans="1:6" ht="15.75">
      <c r="A2169" s="22" t="s">
        <v>1441</v>
      </c>
      <c r="B2169" s="26">
        <v>42750</v>
      </c>
      <c r="C2169" s="27">
        <v>0</v>
      </c>
      <c r="D2169" s="25" t="str">
        <f t="shared" si="66"/>
        <v>201702</v>
      </c>
      <c r="E2169" s="22" t="str">
        <f t="shared" ca="1" si="67"/>
        <v>201701</v>
      </c>
      <c r="F2169" s="22">
        <v>2017</v>
      </c>
    </row>
    <row r="2170" spans="1:6" ht="15.75">
      <c r="A2170" s="22" t="s">
        <v>1441</v>
      </c>
      <c r="B2170" s="26">
        <v>42751</v>
      </c>
      <c r="C2170" s="27">
        <v>0</v>
      </c>
      <c r="D2170" s="25" t="str">
        <f t="shared" si="66"/>
        <v>201703</v>
      </c>
      <c r="E2170" s="22" t="str">
        <f t="shared" ca="1" si="67"/>
        <v>201701</v>
      </c>
      <c r="F2170" s="22">
        <v>2017</v>
      </c>
    </row>
    <row r="2171" spans="1:6" ht="15.75">
      <c r="A2171" s="22" t="s">
        <v>1441</v>
      </c>
      <c r="B2171" s="26">
        <v>42752</v>
      </c>
      <c r="C2171" s="27">
        <v>3.35</v>
      </c>
      <c r="D2171" s="25" t="str">
        <f t="shared" si="66"/>
        <v>201703</v>
      </c>
      <c r="E2171" s="22" t="str">
        <f t="shared" ca="1" si="67"/>
        <v>201701</v>
      </c>
      <c r="F2171" s="22">
        <v>2017</v>
      </c>
    </row>
    <row r="2172" spans="1:6" ht="15.75">
      <c r="A2172" s="22" t="s">
        <v>1441</v>
      </c>
      <c r="B2172" s="26">
        <v>42753</v>
      </c>
      <c r="C2172" s="27">
        <v>9.85</v>
      </c>
      <c r="D2172" s="25" t="str">
        <f t="shared" si="66"/>
        <v>201703</v>
      </c>
      <c r="E2172" s="22" t="str">
        <f t="shared" ca="1" si="67"/>
        <v>201701</v>
      </c>
      <c r="F2172" s="22">
        <v>2017</v>
      </c>
    </row>
    <row r="2173" spans="1:6" ht="15.75">
      <c r="A2173" s="22" t="s">
        <v>1441</v>
      </c>
      <c r="B2173" s="26">
        <v>42754</v>
      </c>
      <c r="C2173" s="27">
        <v>10.95</v>
      </c>
      <c r="D2173" s="25" t="str">
        <f t="shared" si="66"/>
        <v>201703</v>
      </c>
      <c r="E2173" s="22" t="str">
        <f t="shared" ca="1" si="67"/>
        <v>201701</v>
      </c>
      <c r="F2173" s="22">
        <v>2017</v>
      </c>
    </row>
    <row r="2174" spans="1:6" ht="15.75">
      <c r="A2174" s="22" t="s">
        <v>1441</v>
      </c>
      <c r="B2174" s="26">
        <v>42755</v>
      </c>
      <c r="C2174" s="27">
        <v>9.36</v>
      </c>
      <c r="D2174" s="25" t="str">
        <f t="shared" si="66"/>
        <v>201703</v>
      </c>
      <c r="E2174" s="22" t="str">
        <f t="shared" ca="1" si="67"/>
        <v>201701</v>
      </c>
      <c r="F2174" s="22">
        <v>2017</v>
      </c>
    </row>
    <row r="2175" spans="1:6" ht="15.75">
      <c r="A2175" s="22" t="s">
        <v>1441</v>
      </c>
      <c r="B2175" s="26">
        <v>42756</v>
      </c>
      <c r="C2175" s="27">
        <v>9.44</v>
      </c>
      <c r="D2175" s="25" t="str">
        <f t="shared" si="66"/>
        <v>201703</v>
      </c>
      <c r="E2175" s="22" t="str">
        <f t="shared" ca="1" si="67"/>
        <v>201701</v>
      </c>
      <c r="F2175" s="22">
        <v>2017</v>
      </c>
    </row>
    <row r="2176" spans="1:6" ht="15.75">
      <c r="A2176" s="22" t="s">
        <v>1441</v>
      </c>
      <c r="B2176" s="26">
        <v>42757</v>
      </c>
      <c r="C2176" s="27">
        <v>10.55</v>
      </c>
      <c r="D2176" s="25" t="str">
        <f t="shared" si="66"/>
        <v>201703</v>
      </c>
      <c r="E2176" s="22" t="str">
        <f t="shared" ca="1" si="67"/>
        <v>201701</v>
      </c>
      <c r="F2176" s="22">
        <v>2017</v>
      </c>
    </row>
    <row r="2177" spans="1:6" ht="15.75">
      <c r="A2177" s="22" t="s">
        <v>1441</v>
      </c>
      <c r="B2177" s="26">
        <v>42758</v>
      </c>
      <c r="C2177" s="27">
        <v>11.19</v>
      </c>
      <c r="D2177" s="25" t="str">
        <f t="shared" si="66"/>
        <v>201704</v>
      </c>
      <c r="E2177" s="22" t="str">
        <f t="shared" ca="1" si="67"/>
        <v>201701</v>
      </c>
      <c r="F2177" s="22">
        <v>2017</v>
      </c>
    </row>
    <row r="2178" spans="1:6" ht="15.75">
      <c r="A2178" s="22" t="s">
        <v>1441</v>
      </c>
      <c r="B2178" s="26">
        <v>42759</v>
      </c>
      <c r="C2178" s="27">
        <v>9.18</v>
      </c>
      <c r="D2178" s="25" t="str">
        <f t="shared" si="66"/>
        <v>201704</v>
      </c>
      <c r="E2178" s="22" t="str">
        <f t="shared" ca="1" si="67"/>
        <v>201701</v>
      </c>
      <c r="F2178" s="22">
        <v>2017</v>
      </c>
    </row>
    <row r="2179" spans="1:6" ht="15.75">
      <c r="A2179" s="22" t="s">
        <v>1441</v>
      </c>
      <c r="B2179" s="26">
        <v>42760</v>
      </c>
      <c r="C2179" s="27">
        <v>10.62</v>
      </c>
      <c r="D2179" s="25" t="str">
        <f t="shared" ref="D2179:D2242" si="68">CONCATENATE(YEAR(B2179-WEEKDAY(B2179,3)+3),TEXT(WEEKNUM(B2179,21),"00"))</f>
        <v>201704</v>
      </c>
      <c r="E2179" s="22" t="str">
        <f t="shared" ref="E2179:E2242" ca="1" si="69">IF(
  AND(
    YEAR(B2179)=YEAR(TODAY())-1,
    MONTH(B2179)=MONTH(TODAY()),
    DAY(B2179)&gt;DAY($H$2)
  ),
  0,
  CONCATENATE(YEAR(B2179),TEXT(MONTH(B2179),"00"))
)</f>
        <v>201701</v>
      </c>
      <c r="F2179" s="22">
        <v>2017</v>
      </c>
    </row>
    <row r="2180" spans="1:6" ht="15.75">
      <c r="A2180" s="22" t="s">
        <v>1441</v>
      </c>
      <c r="B2180" s="26">
        <v>42761</v>
      </c>
      <c r="C2180" s="27">
        <v>11.86</v>
      </c>
      <c r="D2180" s="25" t="str">
        <f t="shared" si="68"/>
        <v>201704</v>
      </c>
      <c r="E2180" s="22" t="str">
        <f t="shared" ca="1" si="69"/>
        <v>201701</v>
      </c>
      <c r="F2180" s="22">
        <v>2017</v>
      </c>
    </row>
    <row r="2181" spans="1:6" ht="15.75">
      <c r="A2181" s="22" t="s">
        <v>1441</v>
      </c>
      <c r="B2181" s="26">
        <v>42762</v>
      </c>
      <c r="C2181" s="27">
        <v>8.2799999999999994</v>
      </c>
      <c r="D2181" s="25" t="str">
        <f t="shared" si="68"/>
        <v>201704</v>
      </c>
      <c r="E2181" s="22" t="str">
        <f t="shared" ca="1" si="69"/>
        <v>201701</v>
      </c>
      <c r="F2181" s="22">
        <v>2017</v>
      </c>
    </row>
    <row r="2182" spans="1:6" ht="15.75">
      <c r="A2182" s="22" t="s">
        <v>1441</v>
      </c>
      <c r="B2182" s="26">
        <v>42763</v>
      </c>
      <c r="C2182" s="27">
        <v>8.32</v>
      </c>
      <c r="D2182" s="25" t="str">
        <f t="shared" si="68"/>
        <v>201704</v>
      </c>
      <c r="E2182" s="22" t="str">
        <f t="shared" ca="1" si="69"/>
        <v>201701</v>
      </c>
      <c r="F2182" s="22">
        <v>2017</v>
      </c>
    </row>
    <row r="2183" spans="1:6" ht="15.75">
      <c r="A2183" s="22" t="s">
        <v>1441</v>
      </c>
      <c r="B2183" s="26">
        <v>42764</v>
      </c>
      <c r="C2183" s="27">
        <v>11.23</v>
      </c>
      <c r="D2183" s="25" t="str">
        <f t="shared" si="68"/>
        <v>201704</v>
      </c>
      <c r="E2183" s="22" t="str">
        <f t="shared" ca="1" si="69"/>
        <v>201701</v>
      </c>
      <c r="F2183" s="22">
        <v>2017</v>
      </c>
    </row>
    <row r="2184" spans="1:6" ht="15.75">
      <c r="A2184" s="22" t="s">
        <v>1441</v>
      </c>
      <c r="B2184" s="26">
        <v>42765</v>
      </c>
      <c r="C2184" s="27">
        <v>9.91</v>
      </c>
      <c r="D2184" s="25" t="str">
        <f t="shared" si="68"/>
        <v>201705</v>
      </c>
      <c r="E2184" s="22" t="str">
        <f t="shared" ca="1" si="69"/>
        <v>201701</v>
      </c>
      <c r="F2184" s="22">
        <v>2017</v>
      </c>
    </row>
    <row r="2185" spans="1:6" ht="15.75">
      <c r="A2185" s="22" t="s">
        <v>1441</v>
      </c>
      <c r="B2185" s="26">
        <v>42766</v>
      </c>
      <c r="C2185" s="27">
        <v>10.06</v>
      </c>
      <c r="D2185" s="25" t="str">
        <f t="shared" si="68"/>
        <v>201705</v>
      </c>
      <c r="E2185" s="22" t="str">
        <f t="shared" ca="1" si="69"/>
        <v>201701</v>
      </c>
      <c r="F2185" s="22">
        <v>2017</v>
      </c>
    </row>
    <row r="2186" spans="1:6" ht="15.75">
      <c r="A2186" s="22" t="s">
        <v>1441</v>
      </c>
      <c r="B2186" s="26">
        <v>42767</v>
      </c>
      <c r="C2186" s="27">
        <v>10.7</v>
      </c>
      <c r="D2186" s="25" t="str">
        <f t="shared" si="68"/>
        <v>201705</v>
      </c>
      <c r="E2186" s="22" t="str">
        <f t="shared" ca="1" si="69"/>
        <v>201702</v>
      </c>
      <c r="F2186" s="22">
        <v>2017</v>
      </c>
    </row>
    <row r="2187" spans="1:6" ht="15.75">
      <c r="A2187" s="22" t="s">
        <v>1441</v>
      </c>
      <c r="B2187" s="26">
        <v>42768</v>
      </c>
      <c r="C2187" s="27">
        <v>9.16</v>
      </c>
      <c r="D2187" s="25" t="str">
        <f t="shared" si="68"/>
        <v>201705</v>
      </c>
      <c r="E2187" s="22" t="str">
        <f t="shared" ca="1" si="69"/>
        <v>201702</v>
      </c>
      <c r="F2187" s="22">
        <v>2017</v>
      </c>
    </row>
    <row r="2188" spans="1:6" ht="15.75">
      <c r="A2188" s="22" t="s">
        <v>1441</v>
      </c>
      <c r="B2188" s="26">
        <v>42769</v>
      </c>
      <c r="C2188" s="27">
        <v>9.4600000000000009</v>
      </c>
      <c r="D2188" s="25" t="str">
        <f t="shared" si="68"/>
        <v>201705</v>
      </c>
      <c r="E2188" s="22" t="str">
        <f t="shared" ca="1" si="69"/>
        <v>201702</v>
      </c>
      <c r="F2188" s="22">
        <v>2017</v>
      </c>
    </row>
    <row r="2189" spans="1:6" ht="15.75">
      <c r="A2189" s="22" t="s">
        <v>1441</v>
      </c>
      <c r="B2189" s="26">
        <v>42770</v>
      </c>
      <c r="C2189" s="27">
        <v>9.3000000000000007</v>
      </c>
      <c r="D2189" s="25" t="str">
        <f t="shared" si="68"/>
        <v>201705</v>
      </c>
      <c r="E2189" s="22" t="str">
        <f t="shared" ca="1" si="69"/>
        <v>201702</v>
      </c>
      <c r="F2189" s="22">
        <v>2017</v>
      </c>
    </row>
    <row r="2190" spans="1:6" ht="15.75">
      <c r="A2190" s="22" t="s">
        <v>1441</v>
      </c>
      <c r="B2190" s="26">
        <v>42771</v>
      </c>
      <c r="C2190" s="27">
        <v>11.12</v>
      </c>
      <c r="D2190" s="25" t="str">
        <f t="shared" si="68"/>
        <v>201705</v>
      </c>
      <c r="E2190" s="22" t="str">
        <f t="shared" ca="1" si="69"/>
        <v>201702</v>
      </c>
      <c r="F2190" s="22">
        <v>2017</v>
      </c>
    </row>
    <row r="2191" spans="1:6" ht="15.75">
      <c r="A2191" s="22" t="s">
        <v>1441</v>
      </c>
      <c r="B2191" s="26">
        <v>42772</v>
      </c>
      <c r="C2191" s="27">
        <v>10.029999999999999</v>
      </c>
      <c r="D2191" s="25" t="str">
        <f t="shared" si="68"/>
        <v>201706</v>
      </c>
      <c r="E2191" s="22" t="str">
        <f t="shared" ca="1" si="69"/>
        <v>201702</v>
      </c>
      <c r="F2191" s="22">
        <v>2017</v>
      </c>
    </row>
    <row r="2192" spans="1:6" ht="15.75">
      <c r="A2192" s="22" t="s">
        <v>1441</v>
      </c>
      <c r="B2192" s="26">
        <v>42773</v>
      </c>
      <c r="C2192" s="27">
        <v>9.7100000000000009</v>
      </c>
      <c r="D2192" s="25" t="str">
        <f t="shared" si="68"/>
        <v>201706</v>
      </c>
      <c r="E2192" s="22" t="str">
        <f t="shared" ca="1" si="69"/>
        <v>201702</v>
      </c>
      <c r="F2192" s="22">
        <v>2017</v>
      </c>
    </row>
    <row r="2193" spans="1:6" ht="15.75">
      <c r="A2193" s="22" t="s">
        <v>1441</v>
      </c>
      <c r="B2193" s="26">
        <v>42774</v>
      </c>
      <c r="C2193" s="27">
        <v>9.59</v>
      </c>
      <c r="D2193" s="25" t="str">
        <f t="shared" si="68"/>
        <v>201706</v>
      </c>
      <c r="E2193" s="22" t="str">
        <f t="shared" ca="1" si="69"/>
        <v>201702</v>
      </c>
      <c r="F2193" s="22">
        <v>2017</v>
      </c>
    </row>
    <row r="2194" spans="1:6" ht="15.75">
      <c r="A2194" s="22" t="s">
        <v>1441</v>
      </c>
      <c r="B2194" s="26">
        <v>42775</v>
      </c>
      <c r="C2194" s="27">
        <v>10.23</v>
      </c>
      <c r="D2194" s="25" t="str">
        <f t="shared" si="68"/>
        <v>201706</v>
      </c>
      <c r="E2194" s="22" t="str">
        <f t="shared" ca="1" si="69"/>
        <v>201702</v>
      </c>
      <c r="F2194" s="22">
        <v>2017</v>
      </c>
    </row>
    <row r="2195" spans="1:6" ht="15.75">
      <c r="A2195" s="22" t="s">
        <v>1441</v>
      </c>
      <c r="B2195" s="26">
        <v>42776</v>
      </c>
      <c r="C2195" s="27">
        <v>9.33</v>
      </c>
      <c r="D2195" s="25" t="str">
        <f t="shared" si="68"/>
        <v>201706</v>
      </c>
      <c r="E2195" s="22" t="str">
        <f t="shared" ca="1" si="69"/>
        <v>201702</v>
      </c>
      <c r="F2195" s="22">
        <v>2017</v>
      </c>
    </row>
    <row r="2196" spans="1:6" ht="15.75">
      <c r="A2196" s="22" t="s">
        <v>1441</v>
      </c>
      <c r="B2196" s="26">
        <v>42777</v>
      </c>
      <c r="C2196" s="27">
        <v>9.34</v>
      </c>
      <c r="D2196" s="25" t="str">
        <f t="shared" si="68"/>
        <v>201706</v>
      </c>
      <c r="E2196" s="22" t="str">
        <f t="shared" ca="1" si="69"/>
        <v>201702</v>
      </c>
      <c r="F2196" s="22">
        <v>2017</v>
      </c>
    </row>
    <row r="2197" spans="1:6" ht="15.75">
      <c r="A2197" s="22" t="s">
        <v>1441</v>
      </c>
      <c r="B2197" s="26">
        <v>42778</v>
      </c>
      <c r="C2197" s="27">
        <v>10.8</v>
      </c>
      <c r="D2197" s="25" t="str">
        <f t="shared" si="68"/>
        <v>201706</v>
      </c>
      <c r="E2197" s="22" t="str">
        <f t="shared" ca="1" si="69"/>
        <v>201702</v>
      </c>
      <c r="F2197" s="22">
        <v>2017</v>
      </c>
    </row>
    <row r="2198" spans="1:6" ht="15.75">
      <c r="A2198" s="22" t="s">
        <v>1441</v>
      </c>
      <c r="B2198" s="26">
        <v>42779</v>
      </c>
      <c r="C2198" s="27">
        <v>9.8000000000000007</v>
      </c>
      <c r="D2198" s="25" t="str">
        <f t="shared" si="68"/>
        <v>201707</v>
      </c>
      <c r="E2198" s="22" t="str">
        <f t="shared" ca="1" si="69"/>
        <v>201702</v>
      </c>
      <c r="F2198" s="22">
        <v>2017</v>
      </c>
    </row>
    <row r="2199" spans="1:6" ht="15.75">
      <c r="A2199" s="22" t="s">
        <v>1441</v>
      </c>
      <c r="B2199" s="26">
        <v>42780</v>
      </c>
      <c r="C2199" s="27">
        <v>9.73</v>
      </c>
      <c r="D2199" s="25" t="str">
        <f t="shared" si="68"/>
        <v>201707</v>
      </c>
      <c r="E2199" s="22" t="str">
        <f t="shared" ca="1" si="69"/>
        <v>201702</v>
      </c>
      <c r="F2199" s="22">
        <v>2017</v>
      </c>
    </row>
    <row r="2200" spans="1:6" ht="15.75">
      <c r="A2200" s="22" t="s">
        <v>1441</v>
      </c>
      <c r="B2200" s="26">
        <v>42781</v>
      </c>
      <c r="C2200" s="27">
        <v>9.17</v>
      </c>
      <c r="D2200" s="25" t="str">
        <f t="shared" si="68"/>
        <v>201707</v>
      </c>
      <c r="E2200" s="22" t="str">
        <f t="shared" ca="1" si="69"/>
        <v>201702</v>
      </c>
      <c r="F2200" s="22">
        <v>2017</v>
      </c>
    </row>
    <row r="2201" spans="1:6" ht="15.75">
      <c r="A2201" s="22" t="s">
        <v>1441</v>
      </c>
      <c r="B2201" s="26">
        <v>42782</v>
      </c>
      <c r="C2201" s="27">
        <v>10.09</v>
      </c>
      <c r="D2201" s="25" t="str">
        <f t="shared" si="68"/>
        <v>201707</v>
      </c>
      <c r="E2201" s="22" t="str">
        <f t="shared" ca="1" si="69"/>
        <v>201702</v>
      </c>
      <c r="F2201" s="22">
        <v>2017</v>
      </c>
    </row>
    <row r="2202" spans="1:6" ht="15.75">
      <c r="A2202" s="22" t="s">
        <v>1441</v>
      </c>
      <c r="B2202" s="26">
        <v>42783</v>
      </c>
      <c r="C2202" s="27">
        <v>10.55</v>
      </c>
      <c r="D2202" s="25" t="str">
        <f t="shared" si="68"/>
        <v>201707</v>
      </c>
      <c r="E2202" s="22" t="str">
        <f t="shared" ca="1" si="69"/>
        <v>201702</v>
      </c>
      <c r="F2202" s="22">
        <v>2017</v>
      </c>
    </row>
    <row r="2203" spans="1:6" ht="15.75">
      <c r="A2203" s="22" t="s">
        <v>1441</v>
      </c>
      <c r="B2203" s="26">
        <v>42784</v>
      </c>
      <c r="C2203" s="27">
        <v>9.85</v>
      </c>
      <c r="D2203" s="25" t="str">
        <f t="shared" si="68"/>
        <v>201707</v>
      </c>
      <c r="E2203" s="22" t="str">
        <f t="shared" ca="1" si="69"/>
        <v>201702</v>
      </c>
      <c r="F2203" s="22">
        <v>2017</v>
      </c>
    </row>
    <row r="2204" spans="1:6" ht="15.75">
      <c r="A2204" s="22" t="s">
        <v>1441</v>
      </c>
      <c r="B2204" s="26">
        <v>42785</v>
      </c>
      <c r="C2204" s="27">
        <v>11.77</v>
      </c>
      <c r="D2204" s="25" t="str">
        <f t="shared" si="68"/>
        <v>201707</v>
      </c>
      <c r="E2204" s="22" t="str">
        <f t="shared" ca="1" si="69"/>
        <v>201702</v>
      </c>
      <c r="F2204" s="22">
        <v>2017</v>
      </c>
    </row>
    <row r="2205" spans="1:6" ht="15.75">
      <c r="A2205" s="22" t="s">
        <v>1441</v>
      </c>
      <c r="B2205" s="26">
        <v>42786</v>
      </c>
      <c r="C2205" s="27">
        <v>9.67</v>
      </c>
      <c r="D2205" s="25" t="str">
        <f t="shared" si="68"/>
        <v>201708</v>
      </c>
      <c r="E2205" s="22" t="str">
        <f t="shared" ca="1" si="69"/>
        <v>201702</v>
      </c>
      <c r="F2205" s="22">
        <v>2017</v>
      </c>
    </row>
    <row r="2206" spans="1:6" ht="15.75">
      <c r="A2206" s="22" t="s">
        <v>1441</v>
      </c>
      <c r="B2206" s="26">
        <v>42787</v>
      </c>
      <c r="C2206" s="27">
        <v>9.49</v>
      </c>
      <c r="D2206" s="25" t="str">
        <f t="shared" si="68"/>
        <v>201708</v>
      </c>
      <c r="E2206" s="22" t="str">
        <f t="shared" ca="1" si="69"/>
        <v>201702</v>
      </c>
      <c r="F2206" s="22">
        <v>2017</v>
      </c>
    </row>
    <row r="2207" spans="1:6" ht="15.75">
      <c r="A2207" s="22" t="s">
        <v>1441</v>
      </c>
      <c r="B2207" s="26">
        <v>42788</v>
      </c>
      <c r="C2207" s="27">
        <v>9.66</v>
      </c>
      <c r="D2207" s="25" t="str">
        <f t="shared" si="68"/>
        <v>201708</v>
      </c>
      <c r="E2207" s="22" t="str">
        <f t="shared" ca="1" si="69"/>
        <v>201702</v>
      </c>
      <c r="F2207" s="22">
        <v>2017</v>
      </c>
    </row>
    <row r="2208" spans="1:6" ht="15.75">
      <c r="A2208" s="22" t="s">
        <v>1441</v>
      </c>
      <c r="B2208" s="26">
        <v>42789</v>
      </c>
      <c r="C2208" s="27">
        <v>12.5</v>
      </c>
      <c r="D2208" s="25" t="str">
        <f t="shared" si="68"/>
        <v>201708</v>
      </c>
      <c r="E2208" s="22" t="str">
        <f t="shared" ca="1" si="69"/>
        <v>201702</v>
      </c>
      <c r="F2208" s="22">
        <v>2017</v>
      </c>
    </row>
    <row r="2209" spans="1:6" ht="15.75">
      <c r="A2209" s="22" t="s">
        <v>1441</v>
      </c>
      <c r="B2209" s="26">
        <v>42790</v>
      </c>
      <c r="C2209" s="27">
        <v>8.4499999999999993</v>
      </c>
      <c r="D2209" s="25" t="str">
        <f t="shared" si="68"/>
        <v>201708</v>
      </c>
      <c r="E2209" s="22" t="str">
        <f t="shared" ca="1" si="69"/>
        <v>201702</v>
      </c>
      <c r="F2209" s="22">
        <v>2017</v>
      </c>
    </row>
    <row r="2210" spans="1:6" ht="15.75">
      <c r="A2210" s="22" t="s">
        <v>1441</v>
      </c>
      <c r="B2210" s="26">
        <v>42791</v>
      </c>
      <c r="C2210" s="27">
        <v>8.4600000000000009</v>
      </c>
      <c r="D2210" s="25" t="str">
        <f t="shared" si="68"/>
        <v>201708</v>
      </c>
      <c r="E2210" s="22" t="str">
        <f t="shared" ca="1" si="69"/>
        <v>201702</v>
      </c>
      <c r="F2210" s="22">
        <v>2017</v>
      </c>
    </row>
    <row r="2211" spans="1:6" ht="15.75">
      <c r="A2211" s="22" t="s">
        <v>1441</v>
      </c>
      <c r="B2211" s="26">
        <v>42792</v>
      </c>
      <c r="C2211" s="27">
        <v>9.74</v>
      </c>
      <c r="D2211" s="25" t="str">
        <f t="shared" si="68"/>
        <v>201708</v>
      </c>
      <c r="E2211" s="22" t="str">
        <f t="shared" ca="1" si="69"/>
        <v>201702</v>
      </c>
      <c r="F2211" s="22">
        <v>2017</v>
      </c>
    </row>
    <row r="2212" spans="1:6" ht="15.75">
      <c r="A2212" s="22" t="s">
        <v>1441</v>
      </c>
      <c r="B2212" s="26">
        <v>42793</v>
      </c>
      <c r="C2212" s="27">
        <v>9.75</v>
      </c>
      <c r="D2212" s="25" t="str">
        <f t="shared" si="68"/>
        <v>201709</v>
      </c>
      <c r="E2212" s="22" t="str">
        <f t="shared" ca="1" si="69"/>
        <v>201702</v>
      </c>
      <c r="F2212" s="22">
        <v>2017</v>
      </c>
    </row>
    <row r="2213" spans="1:6" ht="15.75">
      <c r="A2213" s="22" t="s">
        <v>1441</v>
      </c>
      <c r="B2213" s="26">
        <v>42794</v>
      </c>
      <c r="C2213" s="27">
        <v>10.72</v>
      </c>
      <c r="D2213" s="25" t="str">
        <f t="shared" si="68"/>
        <v>201709</v>
      </c>
      <c r="E2213" s="22" t="str">
        <f t="shared" ca="1" si="69"/>
        <v>201702</v>
      </c>
      <c r="F2213" s="22">
        <v>2017</v>
      </c>
    </row>
    <row r="2214" spans="1:6" ht="15.75">
      <c r="A2214" s="22" t="s">
        <v>1441</v>
      </c>
      <c r="B2214" s="26">
        <v>42795</v>
      </c>
      <c r="C2214" s="27">
        <v>10.119999999999999</v>
      </c>
      <c r="D2214" s="25" t="str">
        <f t="shared" si="68"/>
        <v>201709</v>
      </c>
      <c r="E2214" s="22" t="str">
        <f t="shared" ca="1" si="69"/>
        <v>201703</v>
      </c>
      <c r="F2214" s="22">
        <v>2017</v>
      </c>
    </row>
    <row r="2215" spans="1:6" ht="15.75">
      <c r="A2215" s="22" t="s">
        <v>1441</v>
      </c>
      <c r="B2215" s="26">
        <v>42796</v>
      </c>
      <c r="C2215" s="27">
        <v>9.84</v>
      </c>
      <c r="D2215" s="25" t="str">
        <f t="shared" si="68"/>
        <v>201709</v>
      </c>
      <c r="E2215" s="22" t="str">
        <f t="shared" ca="1" si="69"/>
        <v>201703</v>
      </c>
      <c r="F2215" s="22">
        <v>2017</v>
      </c>
    </row>
    <row r="2216" spans="1:6" ht="15.75">
      <c r="A2216" s="22" t="s">
        <v>1441</v>
      </c>
      <c r="B2216" s="26">
        <v>42797</v>
      </c>
      <c r="C2216" s="27">
        <v>11.01</v>
      </c>
      <c r="D2216" s="25" t="str">
        <f t="shared" si="68"/>
        <v>201709</v>
      </c>
      <c r="E2216" s="22" t="str">
        <f t="shared" ca="1" si="69"/>
        <v>201703</v>
      </c>
      <c r="F2216" s="22">
        <v>2017</v>
      </c>
    </row>
    <row r="2217" spans="1:6" ht="15.75">
      <c r="A2217" s="22" t="s">
        <v>1441</v>
      </c>
      <c r="B2217" s="26">
        <v>42798</v>
      </c>
      <c r="C2217" s="27">
        <v>8.82</v>
      </c>
      <c r="D2217" s="25" t="str">
        <f t="shared" si="68"/>
        <v>201709</v>
      </c>
      <c r="E2217" s="22" t="str">
        <f t="shared" ca="1" si="69"/>
        <v>201703</v>
      </c>
      <c r="F2217" s="22">
        <v>2017</v>
      </c>
    </row>
    <row r="2218" spans="1:6" ht="15.75">
      <c r="A2218" s="22" t="s">
        <v>1441</v>
      </c>
      <c r="B2218" s="26">
        <v>42799</v>
      </c>
      <c r="C2218" s="27">
        <v>9.6199999999999992</v>
      </c>
      <c r="D2218" s="25" t="str">
        <f t="shared" si="68"/>
        <v>201709</v>
      </c>
      <c r="E2218" s="22" t="str">
        <f t="shared" ca="1" si="69"/>
        <v>201703</v>
      </c>
      <c r="F2218" s="22">
        <v>2017</v>
      </c>
    </row>
    <row r="2219" spans="1:6" ht="15.75">
      <c r="A2219" s="22" t="s">
        <v>1441</v>
      </c>
      <c r="B2219" s="26">
        <v>42800</v>
      </c>
      <c r="C2219" s="27">
        <v>4.5</v>
      </c>
      <c r="D2219" s="25" t="str">
        <f t="shared" si="68"/>
        <v>201710</v>
      </c>
      <c r="E2219" s="22" t="str">
        <f t="shared" ca="1" si="69"/>
        <v>201703</v>
      </c>
      <c r="F2219" s="22">
        <v>2017</v>
      </c>
    </row>
    <row r="2220" spans="1:6" ht="15.75">
      <c r="A2220" s="22" t="s">
        <v>1441</v>
      </c>
      <c r="B2220" s="26">
        <v>42801</v>
      </c>
      <c r="C2220" s="27">
        <v>0</v>
      </c>
      <c r="D2220" s="25" t="str">
        <f t="shared" si="68"/>
        <v>201710</v>
      </c>
      <c r="E2220" s="22" t="str">
        <f t="shared" ca="1" si="69"/>
        <v>201703</v>
      </c>
      <c r="F2220" s="22">
        <v>2017</v>
      </c>
    </row>
    <row r="2221" spans="1:6" ht="15.75">
      <c r="A2221" s="22" t="s">
        <v>1441</v>
      </c>
      <c r="B2221" s="26">
        <v>42802</v>
      </c>
      <c r="C2221" s="27">
        <v>0</v>
      </c>
      <c r="D2221" s="25" t="str">
        <f t="shared" si="68"/>
        <v>201710</v>
      </c>
      <c r="E2221" s="22" t="str">
        <f t="shared" ca="1" si="69"/>
        <v>201703</v>
      </c>
      <c r="F2221" s="22">
        <v>2017</v>
      </c>
    </row>
    <row r="2222" spans="1:6" ht="15.75">
      <c r="A2222" s="22" t="s">
        <v>1441</v>
      </c>
      <c r="B2222" s="26">
        <v>42803</v>
      </c>
      <c r="C2222" s="27">
        <v>0</v>
      </c>
      <c r="D2222" s="25" t="str">
        <f t="shared" si="68"/>
        <v>201710</v>
      </c>
      <c r="E2222" s="22" t="str">
        <f t="shared" ca="1" si="69"/>
        <v>201703</v>
      </c>
      <c r="F2222" s="22">
        <v>2017</v>
      </c>
    </row>
    <row r="2223" spans="1:6" ht="15.75">
      <c r="A2223" s="22" t="s">
        <v>1441</v>
      </c>
      <c r="B2223" s="26">
        <v>42804</v>
      </c>
      <c r="C2223" s="27">
        <v>0</v>
      </c>
      <c r="D2223" s="25" t="str">
        <f t="shared" si="68"/>
        <v>201710</v>
      </c>
      <c r="E2223" s="22" t="str">
        <f t="shared" ca="1" si="69"/>
        <v>201703</v>
      </c>
      <c r="F2223" s="22">
        <v>2017</v>
      </c>
    </row>
    <row r="2224" spans="1:6" ht="15.75">
      <c r="A2224" s="22" t="s">
        <v>1441</v>
      </c>
      <c r="B2224" s="26">
        <v>42805</v>
      </c>
      <c r="C2224" s="27">
        <v>0</v>
      </c>
      <c r="D2224" s="25" t="str">
        <f t="shared" si="68"/>
        <v>201710</v>
      </c>
      <c r="E2224" s="22" t="str">
        <f t="shared" ca="1" si="69"/>
        <v>201703</v>
      </c>
      <c r="F2224" s="22">
        <v>2017</v>
      </c>
    </row>
    <row r="2225" spans="1:6" ht="15.75">
      <c r="A2225" s="22" t="s">
        <v>1441</v>
      </c>
      <c r="B2225" s="26">
        <v>42806</v>
      </c>
      <c r="C2225" s="27">
        <v>0</v>
      </c>
      <c r="D2225" s="25" t="str">
        <f t="shared" si="68"/>
        <v>201710</v>
      </c>
      <c r="E2225" s="22" t="str">
        <f t="shared" ca="1" si="69"/>
        <v>201703</v>
      </c>
      <c r="F2225" s="22">
        <v>2017</v>
      </c>
    </row>
    <row r="2226" spans="1:6" ht="15.75">
      <c r="A2226" s="22" t="s">
        <v>1441</v>
      </c>
      <c r="B2226" s="26">
        <v>42807</v>
      </c>
      <c r="C2226" s="27">
        <v>0</v>
      </c>
      <c r="D2226" s="25" t="str">
        <f t="shared" si="68"/>
        <v>201711</v>
      </c>
      <c r="E2226" s="22" t="str">
        <f t="shared" ca="1" si="69"/>
        <v>201703</v>
      </c>
      <c r="F2226" s="22">
        <v>2017</v>
      </c>
    </row>
    <row r="2227" spans="1:6" ht="15.75">
      <c r="A2227" s="22" t="s">
        <v>1441</v>
      </c>
      <c r="B2227" s="26">
        <v>42808</v>
      </c>
      <c r="C2227" s="27">
        <v>0</v>
      </c>
      <c r="D2227" s="25" t="str">
        <f t="shared" si="68"/>
        <v>201711</v>
      </c>
      <c r="E2227" s="22" t="str">
        <f t="shared" ca="1" si="69"/>
        <v>201703</v>
      </c>
      <c r="F2227" s="22">
        <v>2017</v>
      </c>
    </row>
    <row r="2228" spans="1:6" ht="15.75">
      <c r="A2228" s="22" t="s">
        <v>1441</v>
      </c>
      <c r="B2228" s="26">
        <v>42809</v>
      </c>
      <c r="C2228" s="27">
        <v>0</v>
      </c>
      <c r="D2228" s="25" t="str">
        <f t="shared" si="68"/>
        <v>201711</v>
      </c>
      <c r="E2228" s="22" t="str">
        <f t="shared" ca="1" si="69"/>
        <v>201703</v>
      </c>
      <c r="F2228" s="22">
        <v>2017</v>
      </c>
    </row>
    <row r="2229" spans="1:6" ht="15.75">
      <c r="A2229" s="22" t="s">
        <v>1441</v>
      </c>
      <c r="B2229" s="26">
        <v>42810</v>
      </c>
      <c r="C2229" s="27">
        <v>0</v>
      </c>
      <c r="D2229" s="25" t="str">
        <f t="shared" si="68"/>
        <v>201711</v>
      </c>
      <c r="E2229" s="22" t="str">
        <f t="shared" ca="1" si="69"/>
        <v>201703</v>
      </c>
      <c r="F2229" s="22">
        <v>2017</v>
      </c>
    </row>
    <row r="2230" spans="1:6" ht="15.75">
      <c r="A2230" s="22" t="s">
        <v>1441</v>
      </c>
      <c r="B2230" s="26">
        <v>42811</v>
      </c>
      <c r="C2230" s="27">
        <v>0</v>
      </c>
      <c r="D2230" s="25" t="str">
        <f t="shared" si="68"/>
        <v>201711</v>
      </c>
      <c r="E2230" s="22" t="str">
        <f t="shared" ca="1" si="69"/>
        <v>201703</v>
      </c>
      <c r="F2230" s="22">
        <v>2017</v>
      </c>
    </row>
    <row r="2231" spans="1:6" ht="15.75">
      <c r="A2231" s="22" t="s">
        <v>1441</v>
      </c>
      <c r="B2231" s="26">
        <v>42812</v>
      </c>
      <c r="C2231" s="27">
        <v>0</v>
      </c>
      <c r="D2231" s="25" t="str">
        <f t="shared" si="68"/>
        <v>201711</v>
      </c>
      <c r="E2231" s="22" t="str">
        <f t="shared" ca="1" si="69"/>
        <v>201703</v>
      </c>
      <c r="F2231" s="22">
        <v>2017</v>
      </c>
    </row>
    <row r="2232" spans="1:6" ht="15.75">
      <c r="A2232" s="22" t="s">
        <v>1441</v>
      </c>
      <c r="B2232" s="26">
        <v>42813</v>
      </c>
      <c r="C2232" s="27">
        <v>0</v>
      </c>
      <c r="D2232" s="25" t="str">
        <f t="shared" si="68"/>
        <v>201711</v>
      </c>
      <c r="E2232" s="22" t="str">
        <f t="shared" ca="1" si="69"/>
        <v>201703</v>
      </c>
      <c r="F2232" s="22">
        <v>2017</v>
      </c>
    </row>
    <row r="2233" spans="1:6" ht="15.75">
      <c r="A2233" s="22" t="s">
        <v>1441</v>
      </c>
      <c r="B2233" s="26">
        <v>42814</v>
      </c>
      <c r="C2233" s="27">
        <v>0</v>
      </c>
      <c r="D2233" s="25" t="str">
        <f t="shared" si="68"/>
        <v>201712</v>
      </c>
      <c r="E2233" s="22" t="str">
        <f t="shared" ca="1" si="69"/>
        <v>201703</v>
      </c>
      <c r="F2233" s="22">
        <v>2017</v>
      </c>
    </row>
    <row r="2234" spans="1:6" ht="15.75">
      <c r="A2234" s="22" t="s">
        <v>1441</v>
      </c>
      <c r="B2234" s="26">
        <v>42815</v>
      </c>
      <c r="C2234" s="27">
        <v>0</v>
      </c>
      <c r="D2234" s="25" t="str">
        <f t="shared" si="68"/>
        <v>201712</v>
      </c>
      <c r="E2234" s="22" t="str">
        <f t="shared" ca="1" si="69"/>
        <v>201703</v>
      </c>
      <c r="F2234" s="22">
        <v>2017</v>
      </c>
    </row>
    <row r="2235" spans="1:6" ht="15.75">
      <c r="A2235" s="22" t="s">
        <v>1441</v>
      </c>
      <c r="B2235" s="26">
        <v>42816</v>
      </c>
      <c r="C2235" s="27">
        <v>0</v>
      </c>
      <c r="D2235" s="25" t="str">
        <f t="shared" si="68"/>
        <v>201712</v>
      </c>
      <c r="E2235" s="22" t="str">
        <f t="shared" ca="1" si="69"/>
        <v>201703</v>
      </c>
      <c r="F2235" s="22">
        <v>2017</v>
      </c>
    </row>
    <row r="2236" spans="1:6" ht="15.75">
      <c r="A2236" s="22" t="s">
        <v>1441</v>
      </c>
      <c r="B2236" s="26">
        <v>42817</v>
      </c>
      <c r="C2236" s="27">
        <v>0</v>
      </c>
      <c r="D2236" s="25" t="str">
        <f t="shared" si="68"/>
        <v>201712</v>
      </c>
      <c r="E2236" s="22" t="str">
        <f t="shared" ca="1" si="69"/>
        <v>201703</v>
      </c>
      <c r="F2236" s="22">
        <v>2017</v>
      </c>
    </row>
    <row r="2237" spans="1:6" ht="15.75">
      <c r="A2237" s="22" t="s">
        <v>1441</v>
      </c>
      <c r="B2237" s="26">
        <v>42818</v>
      </c>
      <c r="C2237" s="27">
        <v>0</v>
      </c>
      <c r="D2237" s="25" t="str">
        <f t="shared" si="68"/>
        <v>201712</v>
      </c>
      <c r="E2237" s="22" t="str">
        <f t="shared" ca="1" si="69"/>
        <v>201703</v>
      </c>
      <c r="F2237" s="22">
        <v>2017</v>
      </c>
    </row>
    <row r="2238" spans="1:6" ht="15.75">
      <c r="A2238" s="22" t="s">
        <v>1441</v>
      </c>
      <c r="B2238" s="26">
        <v>42819</v>
      </c>
      <c r="C2238" s="27">
        <v>0</v>
      </c>
      <c r="D2238" s="25" t="str">
        <f t="shared" si="68"/>
        <v>201712</v>
      </c>
      <c r="E2238" s="22" t="str">
        <f t="shared" ca="1" si="69"/>
        <v>201703</v>
      </c>
      <c r="F2238" s="22">
        <v>2017</v>
      </c>
    </row>
    <row r="2239" spans="1:6" ht="15.75">
      <c r="A2239" s="22" t="s">
        <v>1441</v>
      </c>
      <c r="B2239" s="26">
        <v>42820</v>
      </c>
      <c r="C2239" s="27">
        <v>0</v>
      </c>
      <c r="D2239" s="25" t="str">
        <f t="shared" si="68"/>
        <v>201712</v>
      </c>
      <c r="E2239" s="22" t="str">
        <f t="shared" ca="1" si="69"/>
        <v>201703</v>
      </c>
      <c r="F2239" s="22">
        <v>2017</v>
      </c>
    </row>
    <row r="2240" spans="1:6" ht="15.75">
      <c r="A2240" s="22" t="s">
        <v>1441</v>
      </c>
      <c r="B2240" s="26">
        <v>42821</v>
      </c>
      <c r="C2240" s="27">
        <v>0</v>
      </c>
      <c r="D2240" s="25" t="str">
        <f t="shared" si="68"/>
        <v>201713</v>
      </c>
      <c r="E2240" s="22" t="str">
        <f t="shared" ca="1" si="69"/>
        <v>201703</v>
      </c>
      <c r="F2240" s="22">
        <v>2017</v>
      </c>
    </row>
    <row r="2241" spans="1:6" ht="15.75">
      <c r="A2241" s="22" t="s">
        <v>1441</v>
      </c>
      <c r="B2241" s="26">
        <v>42822</v>
      </c>
      <c r="C2241" s="27">
        <v>0</v>
      </c>
      <c r="D2241" s="25" t="str">
        <f t="shared" si="68"/>
        <v>201713</v>
      </c>
      <c r="E2241" s="22" t="str">
        <f t="shared" ca="1" si="69"/>
        <v>201703</v>
      </c>
      <c r="F2241" s="22">
        <v>2017</v>
      </c>
    </row>
    <row r="2242" spans="1:6" ht="15.75">
      <c r="A2242" s="22" t="s">
        <v>1441</v>
      </c>
      <c r="B2242" s="26">
        <v>42823</v>
      </c>
      <c r="C2242" s="27">
        <v>0</v>
      </c>
      <c r="D2242" s="25" t="str">
        <f t="shared" si="68"/>
        <v>201713</v>
      </c>
      <c r="E2242" s="22" t="str">
        <f t="shared" ca="1" si="69"/>
        <v>201703</v>
      </c>
      <c r="F2242" s="22">
        <v>2017</v>
      </c>
    </row>
    <row r="2243" spans="1:6" ht="15.75">
      <c r="A2243" s="22" t="s">
        <v>1441</v>
      </c>
      <c r="B2243" s="26">
        <v>42824</v>
      </c>
      <c r="C2243" s="27">
        <v>0</v>
      </c>
      <c r="D2243" s="25" t="str">
        <f t="shared" ref="D2243:D2306" si="70">CONCATENATE(YEAR(B2243-WEEKDAY(B2243,3)+3),TEXT(WEEKNUM(B2243,21),"00"))</f>
        <v>201713</v>
      </c>
      <c r="E2243" s="22" t="str">
        <f t="shared" ref="E2243:E2306" ca="1" si="71">IF(
  AND(
    YEAR(B2243)=YEAR(TODAY())-1,
    MONTH(B2243)=MONTH(TODAY()),
    DAY(B2243)&gt;DAY($H$2)
  ),
  0,
  CONCATENATE(YEAR(B2243),TEXT(MONTH(B2243),"00"))
)</f>
        <v>201703</v>
      </c>
      <c r="F2243" s="22">
        <v>2017</v>
      </c>
    </row>
    <row r="2244" spans="1:6" ht="15.75">
      <c r="A2244" s="22" t="s">
        <v>1441</v>
      </c>
      <c r="B2244" s="26">
        <v>42825</v>
      </c>
      <c r="C2244" s="27">
        <v>0</v>
      </c>
      <c r="D2244" s="25" t="str">
        <f t="shared" si="70"/>
        <v>201713</v>
      </c>
      <c r="E2244" s="22" t="str">
        <f t="shared" ca="1" si="71"/>
        <v>201703</v>
      </c>
      <c r="F2244" s="22">
        <v>2017</v>
      </c>
    </row>
    <row r="2245" spans="1:6" ht="15.75">
      <c r="A2245" s="22" t="s">
        <v>1441</v>
      </c>
      <c r="B2245" s="26">
        <v>42826</v>
      </c>
      <c r="C2245" s="27">
        <v>0</v>
      </c>
      <c r="D2245" s="25" t="str">
        <f t="shared" si="70"/>
        <v>201713</v>
      </c>
      <c r="E2245" s="22" t="str">
        <f t="shared" ca="1" si="71"/>
        <v>201704</v>
      </c>
      <c r="F2245" s="22">
        <v>2017</v>
      </c>
    </row>
    <row r="2246" spans="1:6" ht="15.75">
      <c r="A2246" s="22" t="s">
        <v>1441</v>
      </c>
      <c r="B2246" s="26">
        <v>42827</v>
      </c>
      <c r="C2246" s="27">
        <v>0</v>
      </c>
      <c r="D2246" s="25" t="str">
        <f t="shared" si="70"/>
        <v>201713</v>
      </c>
      <c r="E2246" s="22" t="str">
        <f t="shared" ca="1" si="71"/>
        <v>201704</v>
      </c>
      <c r="F2246" s="22">
        <v>2017</v>
      </c>
    </row>
    <row r="2247" spans="1:6" ht="15.75">
      <c r="A2247" s="22" t="s">
        <v>1441</v>
      </c>
      <c r="B2247" s="26">
        <v>42828</v>
      </c>
      <c r="C2247" s="27">
        <v>0</v>
      </c>
      <c r="D2247" s="25" t="str">
        <f t="shared" si="70"/>
        <v>201714</v>
      </c>
      <c r="E2247" s="22" t="str">
        <f t="shared" ca="1" si="71"/>
        <v>201704</v>
      </c>
      <c r="F2247" s="22">
        <v>2017</v>
      </c>
    </row>
    <row r="2248" spans="1:6" ht="15.75">
      <c r="A2248" s="22" t="s">
        <v>1441</v>
      </c>
      <c r="B2248" s="26">
        <v>42829</v>
      </c>
      <c r="C2248" s="27">
        <v>0</v>
      </c>
      <c r="D2248" s="25" t="str">
        <f t="shared" si="70"/>
        <v>201714</v>
      </c>
      <c r="E2248" s="22" t="str">
        <f t="shared" ca="1" si="71"/>
        <v>201704</v>
      </c>
      <c r="F2248" s="22">
        <v>2017</v>
      </c>
    </row>
    <row r="2249" spans="1:6" ht="15.75">
      <c r="A2249" s="22" t="s">
        <v>1441</v>
      </c>
      <c r="B2249" s="26">
        <v>42830</v>
      </c>
      <c r="C2249" s="27">
        <v>0</v>
      </c>
      <c r="D2249" s="25" t="str">
        <f t="shared" si="70"/>
        <v>201714</v>
      </c>
      <c r="E2249" s="22" t="str">
        <f t="shared" ca="1" si="71"/>
        <v>201704</v>
      </c>
      <c r="F2249" s="22">
        <v>2017</v>
      </c>
    </row>
    <row r="2250" spans="1:6" ht="15.75">
      <c r="A2250" s="22" t="s">
        <v>1441</v>
      </c>
      <c r="B2250" s="26">
        <v>42831</v>
      </c>
      <c r="C2250" s="27">
        <v>0</v>
      </c>
      <c r="D2250" s="25" t="str">
        <f t="shared" si="70"/>
        <v>201714</v>
      </c>
      <c r="E2250" s="22" t="str">
        <f t="shared" ca="1" si="71"/>
        <v>201704</v>
      </c>
      <c r="F2250" s="22">
        <v>2017</v>
      </c>
    </row>
    <row r="2251" spans="1:6" ht="15.75">
      <c r="A2251" s="22" t="s">
        <v>1441</v>
      </c>
      <c r="B2251" s="26">
        <v>42832</v>
      </c>
      <c r="C2251" s="27">
        <v>0</v>
      </c>
      <c r="D2251" s="25" t="str">
        <f t="shared" si="70"/>
        <v>201714</v>
      </c>
      <c r="E2251" s="22" t="str">
        <f t="shared" ca="1" si="71"/>
        <v>201704</v>
      </c>
      <c r="F2251" s="22">
        <v>2017</v>
      </c>
    </row>
    <row r="2252" spans="1:6" ht="15.75">
      <c r="A2252" s="22" t="s">
        <v>1441</v>
      </c>
      <c r="B2252" s="26">
        <v>42833</v>
      </c>
      <c r="C2252" s="27">
        <v>0</v>
      </c>
      <c r="D2252" s="25" t="str">
        <f t="shared" si="70"/>
        <v>201714</v>
      </c>
      <c r="E2252" s="22" t="str">
        <f t="shared" ca="1" si="71"/>
        <v>201704</v>
      </c>
      <c r="F2252" s="22">
        <v>2017</v>
      </c>
    </row>
    <row r="2253" spans="1:6" ht="15.75">
      <c r="A2253" s="22" t="s">
        <v>1441</v>
      </c>
      <c r="B2253" s="26">
        <v>42834</v>
      </c>
      <c r="C2253" s="27">
        <v>0</v>
      </c>
      <c r="D2253" s="25" t="str">
        <f t="shared" si="70"/>
        <v>201714</v>
      </c>
      <c r="E2253" s="22" t="str">
        <f t="shared" ca="1" si="71"/>
        <v>201704</v>
      </c>
      <c r="F2253" s="22">
        <v>2017</v>
      </c>
    </row>
    <row r="2254" spans="1:6" ht="15.75">
      <c r="A2254" s="22" t="s">
        <v>1441</v>
      </c>
      <c r="B2254" s="26">
        <v>42835</v>
      </c>
      <c r="C2254" s="27">
        <v>0</v>
      </c>
      <c r="D2254" s="25" t="str">
        <f t="shared" si="70"/>
        <v>201715</v>
      </c>
      <c r="E2254" s="22" t="str">
        <f t="shared" ca="1" si="71"/>
        <v>201704</v>
      </c>
      <c r="F2254" s="22">
        <v>2017</v>
      </c>
    </row>
    <row r="2255" spans="1:6" ht="15.75">
      <c r="A2255" s="22" t="s">
        <v>1441</v>
      </c>
      <c r="B2255" s="26">
        <v>42836</v>
      </c>
      <c r="C2255" s="27">
        <v>0</v>
      </c>
      <c r="D2255" s="25" t="str">
        <f t="shared" si="70"/>
        <v>201715</v>
      </c>
      <c r="E2255" s="22" t="str">
        <f t="shared" ca="1" si="71"/>
        <v>201704</v>
      </c>
      <c r="F2255" s="22">
        <v>2017</v>
      </c>
    </row>
    <row r="2256" spans="1:6" ht="15.75">
      <c r="A2256" s="22" t="s">
        <v>1441</v>
      </c>
      <c r="B2256" s="26">
        <v>42837</v>
      </c>
      <c r="C2256" s="27">
        <v>0</v>
      </c>
      <c r="D2256" s="25" t="str">
        <f t="shared" si="70"/>
        <v>201715</v>
      </c>
      <c r="E2256" s="22" t="str">
        <f t="shared" ca="1" si="71"/>
        <v>201704</v>
      </c>
      <c r="F2256" s="22">
        <v>2017</v>
      </c>
    </row>
    <row r="2257" spans="1:6" ht="15.75">
      <c r="A2257" s="22" t="s">
        <v>1441</v>
      </c>
      <c r="B2257" s="26">
        <v>42838</v>
      </c>
      <c r="C2257" s="27">
        <v>0</v>
      </c>
      <c r="D2257" s="25" t="str">
        <f t="shared" si="70"/>
        <v>201715</v>
      </c>
      <c r="E2257" s="22" t="str">
        <f t="shared" ca="1" si="71"/>
        <v>201704</v>
      </c>
      <c r="F2257" s="22">
        <v>2017</v>
      </c>
    </row>
    <row r="2258" spans="1:6" ht="15.75">
      <c r="A2258" s="22" t="s">
        <v>1441</v>
      </c>
      <c r="B2258" s="26">
        <v>42839</v>
      </c>
      <c r="C2258" s="27">
        <v>0</v>
      </c>
      <c r="D2258" s="25" t="str">
        <f t="shared" si="70"/>
        <v>201715</v>
      </c>
      <c r="E2258" s="22" t="str">
        <f t="shared" ca="1" si="71"/>
        <v>201704</v>
      </c>
      <c r="F2258" s="22">
        <v>2017</v>
      </c>
    </row>
    <row r="2259" spans="1:6" ht="15.75">
      <c r="A2259" s="22" t="s">
        <v>1441</v>
      </c>
      <c r="B2259" s="26">
        <v>42840</v>
      </c>
      <c r="C2259" s="27">
        <v>0</v>
      </c>
      <c r="D2259" s="25" t="str">
        <f t="shared" si="70"/>
        <v>201715</v>
      </c>
      <c r="E2259" s="22" t="str">
        <f t="shared" ca="1" si="71"/>
        <v>201704</v>
      </c>
      <c r="F2259" s="22">
        <v>2017</v>
      </c>
    </row>
    <row r="2260" spans="1:6" ht="15.75">
      <c r="A2260" s="22" t="s">
        <v>1441</v>
      </c>
      <c r="B2260" s="26">
        <v>42841</v>
      </c>
      <c r="C2260" s="27">
        <v>0</v>
      </c>
      <c r="D2260" s="25" t="str">
        <f t="shared" si="70"/>
        <v>201715</v>
      </c>
      <c r="E2260" s="22" t="str">
        <f t="shared" ca="1" si="71"/>
        <v>201704</v>
      </c>
      <c r="F2260" s="22">
        <v>2017</v>
      </c>
    </row>
    <row r="2261" spans="1:6" ht="15.75">
      <c r="A2261" s="22" t="s">
        <v>1441</v>
      </c>
      <c r="B2261" s="26">
        <v>42842</v>
      </c>
      <c r="C2261" s="27">
        <v>0</v>
      </c>
      <c r="D2261" s="25" t="str">
        <f t="shared" si="70"/>
        <v>201716</v>
      </c>
      <c r="E2261" s="22" t="str">
        <f t="shared" ca="1" si="71"/>
        <v>201704</v>
      </c>
      <c r="F2261" s="22">
        <v>2017</v>
      </c>
    </row>
    <row r="2262" spans="1:6" ht="15.75">
      <c r="A2262" s="22" t="s">
        <v>1441</v>
      </c>
      <c r="B2262" s="26">
        <v>42843</v>
      </c>
      <c r="C2262" s="27">
        <v>0</v>
      </c>
      <c r="D2262" s="25" t="str">
        <f t="shared" si="70"/>
        <v>201716</v>
      </c>
      <c r="E2262" s="22" t="str">
        <f t="shared" ca="1" si="71"/>
        <v>201704</v>
      </c>
      <c r="F2262" s="22">
        <v>2017</v>
      </c>
    </row>
    <row r="2263" spans="1:6" ht="15.75">
      <c r="A2263" s="22" t="s">
        <v>1441</v>
      </c>
      <c r="B2263" s="26">
        <v>42844</v>
      </c>
      <c r="C2263" s="27">
        <v>0</v>
      </c>
      <c r="D2263" s="25" t="str">
        <f t="shared" si="70"/>
        <v>201716</v>
      </c>
      <c r="E2263" s="22" t="str">
        <f t="shared" ca="1" si="71"/>
        <v>201704</v>
      </c>
      <c r="F2263" s="22">
        <v>2017</v>
      </c>
    </row>
    <row r="2264" spans="1:6" ht="15.75">
      <c r="A2264" s="22" t="s">
        <v>1441</v>
      </c>
      <c r="B2264" s="26">
        <v>42845</v>
      </c>
      <c r="C2264" s="27">
        <v>0</v>
      </c>
      <c r="D2264" s="25" t="str">
        <f t="shared" si="70"/>
        <v>201716</v>
      </c>
      <c r="E2264" s="22" t="str">
        <f t="shared" ca="1" si="71"/>
        <v>201704</v>
      </c>
      <c r="F2264" s="22">
        <v>2017</v>
      </c>
    </row>
    <row r="2265" spans="1:6" ht="15.75">
      <c r="A2265" s="22" t="s">
        <v>1441</v>
      </c>
      <c r="B2265" s="26">
        <v>42846</v>
      </c>
      <c r="C2265" s="27">
        <v>0</v>
      </c>
      <c r="D2265" s="25" t="str">
        <f t="shared" si="70"/>
        <v>201716</v>
      </c>
      <c r="E2265" s="22" t="str">
        <f t="shared" ca="1" si="71"/>
        <v>201704</v>
      </c>
      <c r="F2265" s="22">
        <v>2017</v>
      </c>
    </row>
    <row r="2266" spans="1:6" ht="15.75">
      <c r="A2266" s="22" t="s">
        <v>1441</v>
      </c>
      <c r="B2266" s="26">
        <v>42847</v>
      </c>
      <c r="C2266" s="27">
        <v>0</v>
      </c>
      <c r="D2266" s="25" t="str">
        <f t="shared" si="70"/>
        <v>201716</v>
      </c>
      <c r="E2266" s="22" t="str">
        <f t="shared" ca="1" si="71"/>
        <v>201704</v>
      </c>
      <c r="F2266" s="22">
        <v>2017</v>
      </c>
    </row>
    <row r="2267" spans="1:6" ht="15.75">
      <c r="A2267" s="22" t="s">
        <v>1441</v>
      </c>
      <c r="B2267" s="26">
        <v>42848</v>
      </c>
      <c r="C2267" s="27">
        <v>0</v>
      </c>
      <c r="D2267" s="25" t="str">
        <f t="shared" si="70"/>
        <v>201716</v>
      </c>
      <c r="E2267" s="22" t="str">
        <f t="shared" ca="1" si="71"/>
        <v>201704</v>
      </c>
      <c r="F2267" s="22">
        <v>2017</v>
      </c>
    </row>
    <row r="2268" spans="1:6" ht="15.75">
      <c r="A2268" s="22" t="s">
        <v>1441</v>
      </c>
      <c r="B2268" s="26">
        <v>42849</v>
      </c>
      <c r="C2268" s="27">
        <v>0</v>
      </c>
      <c r="D2268" s="25" t="str">
        <f t="shared" si="70"/>
        <v>201717</v>
      </c>
      <c r="E2268" s="22" t="str">
        <f t="shared" ca="1" si="71"/>
        <v>201704</v>
      </c>
      <c r="F2268" s="22">
        <v>2017</v>
      </c>
    </row>
    <row r="2269" spans="1:6" ht="15.75">
      <c r="A2269" s="22" t="s">
        <v>1441</v>
      </c>
      <c r="B2269" s="26">
        <v>42850</v>
      </c>
      <c r="C2269" s="27">
        <v>0</v>
      </c>
      <c r="D2269" s="25" t="str">
        <f t="shared" si="70"/>
        <v>201717</v>
      </c>
      <c r="E2269" s="22" t="str">
        <f t="shared" ca="1" si="71"/>
        <v>201704</v>
      </c>
      <c r="F2269" s="22">
        <v>2017</v>
      </c>
    </row>
    <row r="2270" spans="1:6" ht="15.75">
      <c r="A2270" s="22" t="s">
        <v>1441</v>
      </c>
      <c r="B2270" s="26">
        <v>42851</v>
      </c>
      <c r="C2270" s="27">
        <v>0</v>
      </c>
      <c r="D2270" s="25" t="str">
        <f t="shared" si="70"/>
        <v>201717</v>
      </c>
      <c r="E2270" s="22" t="str">
        <f t="shared" ca="1" si="71"/>
        <v>201704</v>
      </c>
      <c r="F2270" s="22">
        <v>2017</v>
      </c>
    </row>
    <row r="2271" spans="1:6" ht="15.75">
      <c r="A2271" s="22" t="s">
        <v>1441</v>
      </c>
      <c r="B2271" s="26">
        <v>42852</v>
      </c>
      <c r="C2271" s="27">
        <v>0</v>
      </c>
      <c r="D2271" s="25" t="str">
        <f t="shared" si="70"/>
        <v>201717</v>
      </c>
      <c r="E2271" s="22" t="str">
        <f t="shared" ca="1" si="71"/>
        <v>201704</v>
      </c>
      <c r="F2271" s="22">
        <v>2017</v>
      </c>
    </row>
    <row r="2272" spans="1:6" ht="15.75">
      <c r="A2272" s="22" t="s">
        <v>1441</v>
      </c>
      <c r="B2272" s="26">
        <v>42853</v>
      </c>
      <c r="C2272" s="27">
        <v>0</v>
      </c>
      <c r="D2272" s="25" t="str">
        <f t="shared" si="70"/>
        <v>201717</v>
      </c>
      <c r="E2272" s="22" t="str">
        <f t="shared" ca="1" si="71"/>
        <v>201704</v>
      </c>
      <c r="F2272" s="22">
        <v>2017</v>
      </c>
    </row>
    <row r="2273" spans="1:6" ht="15.75">
      <c r="A2273" s="22" t="s">
        <v>1441</v>
      </c>
      <c r="B2273" s="26">
        <v>42854</v>
      </c>
      <c r="C2273" s="27">
        <v>0</v>
      </c>
      <c r="D2273" s="25" t="str">
        <f t="shared" si="70"/>
        <v>201717</v>
      </c>
      <c r="E2273" s="22" t="str">
        <f t="shared" ca="1" si="71"/>
        <v>201704</v>
      </c>
      <c r="F2273" s="22">
        <v>2017</v>
      </c>
    </row>
    <row r="2274" spans="1:6" ht="15.75">
      <c r="A2274" s="22" t="s">
        <v>1441</v>
      </c>
      <c r="B2274" s="26">
        <v>42855</v>
      </c>
      <c r="C2274" s="27">
        <v>0</v>
      </c>
      <c r="D2274" s="25" t="str">
        <f t="shared" si="70"/>
        <v>201717</v>
      </c>
      <c r="E2274" s="22" t="str">
        <f t="shared" ca="1" si="71"/>
        <v>201704</v>
      </c>
      <c r="F2274" s="22">
        <v>2017</v>
      </c>
    </row>
    <row r="2275" spans="1:6" ht="15.75">
      <c r="A2275" s="22" t="s">
        <v>1441</v>
      </c>
      <c r="B2275" s="26">
        <v>42856</v>
      </c>
      <c r="C2275" s="27">
        <v>0</v>
      </c>
      <c r="D2275" s="25" t="str">
        <f t="shared" si="70"/>
        <v>201718</v>
      </c>
      <c r="E2275" s="22" t="str">
        <f t="shared" ca="1" si="71"/>
        <v>201705</v>
      </c>
      <c r="F2275" s="22">
        <v>2017</v>
      </c>
    </row>
    <row r="2276" spans="1:6" ht="15.75">
      <c r="A2276" s="22" t="s">
        <v>1441</v>
      </c>
      <c r="B2276" s="26">
        <v>42857</v>
      </c>
      <c r="C2276" s="27">
        <v>0</v>
      </c>
      <c r="D2276" s="25" t="str">
        <f t="shared" si="70"/>
        <v>201718</v>
      </c>
      <c r="E2276" s="22" t="str">
        <f t="shared" ca="1" si="71"/>
        <v>201705</v>
      </c>
      <c r="F2276" s="22">
        <v>2017</v>
      </c>
    </row>
    <row r="2277" spans="1:6" ht="15.75">
      <c r="A2277" s="22" t="s">
        <v>1441</v>
      </c>
      <c r="B2277" s="26">
        <v>42858</v>
      </c>
      <c r="C2277" s="27">
        <v>0</v>
      </c>
      <c r="D2277" s="25" t="str">
        <f t="shared" si="70"/>
        <v>201718</v>
      </c>
      <c r="E2277" s="22" t="str">
        <f t="shared" ca="1" si="71"/>
        <v>201705</v>
      </c>
      <c r="F2277" s="22">
        <v>2017</v>
      </c>
    </row>
    <row r="2278" spans="1:6" ht="15.75">
      <c r="A2278" s="22" t="s">
        <v>1441</v>
      </c>
      <c r="B2278" s="26">
        <v>42859</v>
      </c>
      <c r="C2278" s="27">
        <v>0</v>
      </c>
      <c r="D2278" s="25" t="str">
        <f t="shared" si="70"/>
        <v>201718</v>
      </c>
      <c r="E2278" s="22" t="str">
        <f t="shared" ca="1" si="71"/>
        <v>201705</v>
      </c>
      <c r="F2278" s="22">
        <v>2017</v>
      </c>
    </row>
    <row r="2279" spans="1:6" ht="15.75">
      <c r="A2279" s="22" t="s">
        <v>1441</v>
      </c>
      <c r="B2279" s="26">
        <v>42860</v>
      </c>
      <c r="C2279" s="27">
        <v>0</v>
      </c>
      <c r="D2279" s="25" t="str">
        <f t="shared" si="70"/>
        <v>201718</v>
      </c>
      <c r="E2279" s="22" t="str">
        <f t="shared" ca="1" si="71"/>
        <v>201705</v>
      </c>
      <c r="F2279" s="22">
        <v>2017</v>
      </c>
    </row>
    <row r="2280" spans="1:6" ht="15.75">
      <c r="A2280" s="22" t="s">
        <v>1441</v>
      </c>
      <c r="B2280" s="26">
        <v>42861</v>
      </c>
      <c r="C2280" s="27">
        <v>0</v>
      </c>
      <c r="D2280" s="25" t="str">
        <f t="shared" si="70"/>
        <v>201718</v>
      </c>
      <c r="E2280" s="22" t="str">
        <f t="shared" ca="1" si="71"/>
        <v>201705</v>
      </c>
      <c r="F2280" s="22">
        <v>2017</v>
      </c>
    </row>
    <row r="2281" spans="1:6" ht="15.75">
      <c r="A2281" s="22" t="s">
        <v>1441</v>
      </c>
      <c r="B2281" s="26">
        <v>42862</v>
      </c>
      <c r="C2281" s="27">
        <v>0</v>
      </c>
      <c r="D2281" s="25" t="str">
        <f t="shared" si="70"/>
        <v>201718</v>
      </c>
      <c r="E2281" s="22" t="str">
        <f t="shared" ca="1" si="71"/>
        <v>201705</v>
      </c>
      <c r="F2281" s="22">
        <v>2017</v>
      </c>
    </row>
    <row r="2282" spans="1:6" ht="15.75">
      <c r="A2282" s="22" t="s">
        <v>1441</v>
      </c>
      <c r="B2282" s="26">
        <v>42863</v>
      </c>
      <c r="C2282" s="27">
        <v>0</v>
      </c>
      <c r="D2282" s="25" t="str">
        <f t="shared" si="70"/>
        <v>201719</v>
      </c>
      <c r="E2282" s="22" t="str">
        <f t="shared" ca="1" si="71"/>
        <v>201705</v>
      </c>
      <c r="F2282" s="22">
        <v>2017</v>
      </c>
    </row>
    <row r="2283" spans="1:6" ht="15.75">
      <c r="A2283" s="22" t="s">
        <v>1441</v>
      </c>
      <c r="B2283" s="26">
        <v>42864</v>
      </c>
      <c r="C2283" s="27">
        <v>0</v>
      </c>
      <c r="D2283" s="25" t="str">
        <f t="shared" si="70"/>
        <v>201719</v>
      </c>
      <c r="E2283" s="22" t="str">
        <f t="shared" ca="1" si="71"/>
        <v>201705</v>
      </c>
      <c r="F2283" s="22">
        <v>2017</v>
      </c>
    </row>
    <row r="2284" spans="1:6" ht="15.75">
      <c r="A2284" s="22" t="s">
        <v>1441</v>
      </c>
      <c r="B2284" s="26">
        <v>42865</v>
      </c>
      <c r="C2284" s="27">
        <v>0</v>
      </c>
      <c r="D2284" s="25" t="str">
        <f t="shared" si="70"/>
        <v>201719</v>
      </c>
      <c r="E2284" s="22" t="str">
        <f t="shared" ca="1" si="71"/>
        <v>201705</v>
      </c>
      <c r="F2284" s="22">
        <v>2017</v>
      </c>
    </row>
    <row r="2285" spans="1:6" ht="15.75">
      <c r="A2285" s="22" t="s">
        <v>1441</v>
      </c>
      <c r="B2285" s="26">
        <v>42866</v>
      </c>
      <c r="C2285" s="27">
        <v>0</v>
      </c>
      <c r="D2285" s="25" t="str">
        <f t="shared" si="70"/>
        <v>201719</v>
      </c>
      <c r="E2285" s="22" t="str">
        <f t="shared" ca="1" si="71"/>
        <v>201705</v>
      </c>
      <c r="F2285" s="22">
        <v>2017</v>
      </c>
    </row>
    <row r="2286" spans="1:6" ht="15.75">
      <c r="A2286" s="22" t="s">
        <v>1441</v>
      </c>
      <c r="B2286" s="26">
        <v>42867</v>
      </c>
      <c r="C2286" s="27">
        <v>0</v>
      </c>
      <c r="D2286" s="25" t="str">
        <f t="shared" si="70"/>
        <v>201719</v>
      </c>
      <c r="E2286" s="22" t="str">
        <f t="shared" ca="1" si="71"/>
        <v>201705</v>
      </c>
      <c r="F2286" s="22">
        <v>2017</v>
      </c>
    </row>
    <row r="2287" spans="1:6" ht="15.75">
      <c r="A2287" s="22" t="s">
        <v>1441</v>
      </c>
      <c r="B2287" s="26">
        <v>42868</v>
      </c>
      <c r="C2287" s="27">
        <v>0</v>
      </c>
      <c r="D2287" s="25" t="str">
        <f t="shared" si="70"/>
        <v>201719</v>
      </c>
      <c r="E2287" s="22" t="str">
        <f t="shared" ca="1" si="71"/>
        <v>201705</v>
      </c>
      <c r="F2287" s="22">
        <v>2017</v>
      </c>
    </row>
    <row r="2288" spans="1:6" ht="15.75">
      <c r="A2288" s="22" t="s">
        <v>1441</v>
      </c>
      <c r="B2288" s="26">
        <v>42869</v>
      </c>
      <c r="C2288" s="27">
        <v>0</v>
      </c>
      <c r="D2288" s="25" t="str">
        <f t="shared" si="70"/>
        <v>201719</v>
      </c>
      <c r="E2288" s="22" t="str">
        <f t="shared" ca="1" si="71"/>
        <v>201705</v>
      </c>
      <c r="F2288" s="22">
        <v>2017</v>
      </c>
    </row>
    <row r="2289" spans="1:6" ht="15.75">
      <c r="A2289" s="22" t="s">
        <v>1441</v>
      </c>
      <c r="B2289" s="26">
        <v>42870</v>
      </c>
      <c r="C2289" s="27">
        <v>0</v>
      </c>
      <c r="D2289" s="25" t="str">
        <f t="shared" si="70"/>
        <v>201720</v>
      </c>
      <c r="E2289" s="22" t="str">
        <f t="shared" ca="1" si="71"/>
        <v>201705</v>
      </c>
      <c r="F2289" s="22">
        <v>2017</v>
      </c>
    </row>
    <row r="2290" spans="1:6" ht="15.75">
      <c r="A2290" s="22" t="s">
        <v>1441</v>
      </c>
      <c r="B2290" s="26">
        <v>42871</v>
      </c>
      <c r="C2290" s="27">
        <v>0</v>
      </c>
      <c r="D2290" s="25" t="str">
        <f t="shared" si="70"/>
        <v>201720</v>
      </c>
      <c r="E2290" s="22" t="str">
        <f t="shared" ca="1" si="71"/>
        <v>201705</v>
      </c>
      <c r="F2290" s="22">
        <v>2017</v>
      </c>
    </row>
    <row r="2291" spans="1:6" ht="15.75">
      <c r="A2291" s="22" t="s">
        <v>1441</v>
      </c>
      <c r="B2291" s="26">
        <v>42872</v>
      </c>
      <c r="C2291" s="27">
        <v>0</v>
      </c>
      <c r="D2291" s="25" t="str">
        <f t="shared" si="70"/>
        <v>201720</v>
      </c>
      <c r="E2291" s="22" t="str">
        <f t="shared" ca="1" si="71"/>
        <v>201705</v>
      </c>
      <c r="F2291" s="22">
        <v>2017</v>
      </c>
    </row>
    <row r="2292" spans="1:6" ht="15.75">
      <c r="A2292" s="22" t="s">
        <v>1441</v>
      </c>
      <c r="B2292" s="26">
        <v>42873</v>
      </c>
      <c r="C2292" s="27">
        <v>0</v>
      </c>
      <c r="D2292" s="25" t="str">
        <f t="shared" si="70"/>
        <v>201720</v>
      </c>
      <c r="E2292" s="22" t="str">
        <f t="shared" ca="1" si="71"/>
        <v>201705</v>
      </c>
      <c r="F2292" s="22">
        <v>2017</v>
      </c>
    </row>
    <row r="2293" spans="1:6" ht="15.75">
      <c r="A2293" s="22" t="s">
        <v>1441</v>
      </c>
      <c r="B2293" s="26">
        <v>42874</v>
      </c>
      <c r="C2293" s="27">
        <v>0</v>
      </c>
      <c r="D2293" s="25" t="str">
        <f t="shared" si="70"/>
        <v>201720</v>
      </c>
      <c r="E2293" s="22" t="str">
        <f t="shared" ca="1" si="71"/>
        <v>201705</v>
      </c>
      <c r="F2293" s="22">
        <v>2017</v>
      </c>
    </row>
    <row r="2294" spans="1:6" ht="15.75">
      <c r="A2294" s="22" t="s">
        <v>1441</v>
      </c>
      <c r="B2294" s="26">
        <v>42875</v>
      </c>
      <c r="C2294" s="27">
        <v>0</v>
      </c>
      <c r="D2294" s="25" t="str">
        <f t="shared" si="70"/>
        <v>201720</v>
      </c>
      <c r="E2294" s="22" t="str">
        <f t="shared" ca="1" si="71"/>
        <v>201705</v>
      </c>
      <c r="F2294" s="22">
        <v>2017</v>
      </c>
    </row>
    <row r="2295" spans="1:6" ht="15.75">
      <c r="A2295" s="22" t="s">
        <v>1441</v>
      </c>
      <c r="B2295" s="26">
        <v>42876</v>
      </c>
      <c r="C2295" s="27">
        <v>0</v>
      </c>
      <c r="D2295" s="25" t="str">
        <f t="shared" si="70"/>
        <v>201720</v>
      </c>
      <c r="E2295" s="22" t="str">
        <f t="shared" ca="1" si="71"/>
        <v>201705</v>
      </c>
      <c r="F2295" s="22">
        <v>2017</v>
      </c>
    </row>
    <row r="2296" spans="1:6" ht="15.75">
      <c r="A2296" s="22" t="s">
        <v>1441</v>
      </c>
      <c r="B2296" s="26">
        <v>42877</v>
      </c>
      <c r="C2296" s="27">
        <v>0</v>
      </c>
      <c r="D2296" s="25" t="str">
        <f t="shared" si="70"/>
        <v>201721</v>
      </c>
      <c r="E2296" s="22" t="str">
        <f t="shared" ca="1" si="71"/>
        <v>201705</v>
      </c>
      <c r="F2296" s="22">
        <v>2017</v>
      </c>
    </row>
    <row r="2297" spans="1:6" ht="15.75">
      <c r="A2297" s="22" t="s">
        <v>1441</v>
      </c>
      <c r="B2297" s="26">
        <v>42878</v>
      </c>
      <c r="C2297" s="27">
        <v>0</v>
      </c>
      <c r="D2297" s="25" t="str">
        <f t="shared" si="70"/>
        <v>201721</v>
      </c>
      <c r="E2297" s="22" t="str">
        <f t="shared" ca="1" si="71"/>
        <v>201705</v>
      </c>
      <c r="F2297" s="22">
        <v>2017</v>
      </c>
    </row>
    <row r="2298" spans="1:6" ht="15.75">
      <c r="A2298" s="22" t="s">
        <v>1441</v>
      </c>
      <c r="B2298" s="26">
        <v>42879</v>
      </c>
      <c r="C2298" s="27">
        <v>0</v>
      </c>
      <c r="D2298" s="25" t="str">
        <f t="shared" si="70"/>
        <v>201721</v>
      </c>
      <c r="E2298" s="22" t="str">
        <f t="shared" ca="1" si="71"/>
        <v>201705</v>
      </c>
      <c r="F2298" s="22">
        <v>2017</v>
      </c>
    </row>
    <row r="2299" spans="1:6" ht="15.75">
      <c r="A2299" s="22" t="s">
        <v>1441</v>
      </c>
      <c r="B2299" s="26">
        <v>42880</v>
      </c>
      <c r="C2299" s="27">
        <v>0</v>
      </c>
      <c r="D2299" s="25" t="str">
        <f t="shared" si="70"/>
        <v>201721</v>
      </c>
      <c r="E2299" s="22" t="str">
        <f t="shared" ca="1" si="71"/>
        <v>201705</v>
      </c>
      <c r="F2299" s="22">
        <v>2017</v>
      </c>
    </row>
    <row r="2300" spans="1:6" ht="15.75">
      <c r="A2300" s="22" t="s">
        <v>1441</v>
      </c>
      <c r="B2300" s="26">
        <v>42881</v>
      </c>
      <c r="C2300" s="27">
        <v>0</v>
      </c>
      <c r="D2300" s="25" t="str">
        <f t="shared" si="70"/>
        <v>201721</v>
      </c>
      <c r="E2300" s="22" t="str">
        <f t="shared" ca="1" si="71"/>
        <v>201705</v>
      </c>
      <c r="F2300" s="22">
        <v>2017</v>
      </c>
    </row>
    <row r="2301" spans="1:6" ht="15.75">
      <c r="A2301" s="22" t="s">
        <v>1441</v>
      </c>
      <c r="B2301" s="26">
        <v>42882</v>
      </c>
      <c r="C2301" s="27">
        <v>0</v>
      </c>
      <c r="D2301" s="25" t="str">
        <f t="shared" si="70"/>
        <v>201721</v>
      </c>
      <c r="E2301" s="22" t="str">
        <f t="shared" ca="1" si="71"/>
        <v>201705</v>
      </c>
      <c r="F2301" s="22">
        <v>2017</v>
      </c>
    </row>
    <row r="2302" spans="1:6" ht="15.75">
      <c r="A2302" s="22" t="s">
        <v>1441</v>
      </c>
      <c r="B2302" s="26">
        <v>42883</v>
      </c>
      <c r="C2302" s="27">
        <v>0</v>
      </c>
      <c r="D2302" s="25" t="str">
        <f t="shared" si="70"/>
        <v>201721</v>
      </c>
      <c r="E2302" s="22" t="str">
        <f t="shared" ca="1" si="71"/>
        <v>201705</v>
      </c>
      <c r="F2302" s="22">
        <v>2017</v>
      </c>
    </row>
    <row r="2303" spans="1:6" ht="15.75">
      <c r="A2303" s="22" t="s">
        <v>1441</v>
      </c>
      <c r="B2303" s="26">
        <v>42884</v>
      </c>
      <c r="C2303" s="27">
        <v>0</v>
      </c>
      <c r="D2303" s="25" t="str">
        <f t="shared" si="70"/>
        <v>201722</v>
      </c>
      <c r="E2303" s="22" t="str">
        <f t="shared" ca="1" si="71"/>
        <v>201705</v>
      </c>
      <c r="F2303" s="22">
        <v>2017</v>
      </c>
    </row>
    <row r="2304" spans="1:6" ht="15.75">
      <c r="A2304" s="22" t="s">
        <v>1441</v>
      </c>
      <c r="B2304" s="26">
        <v>42885</v>
      </c>
      <c r="C2304" s="27">
        <v>0</v>
      </c>
      <c r="D2304" s="25" t="str">
        <f t="shared" si="70"/>
        <v>201722</v>
      </c>
      <c r="E2304" s="22" t="str">
        <f t="shared" ca="1" si="71"/>
        <v>201705</v>
      </c>
      <c r="F2304" s="22">
        <v>2017</v>
      </c>
    </row>
    <row r="2305" spans="1:6" ht="15.75">
      <c r="A2305" s="22" t="s">
        <v>1441</v>
      </c>
      <c r="B2305" s="26">
        <v>42886</v>
      </c>
      <c r="C2305" s="27">
        <v>0</v>
      </c>
      <c r="D2305" s="25" t="str">
        <f t="shared" si="70"/>
        <v>201722</v>
      </c>
      <c r="E2305" s="22" t="str">
        <f t="shared" ca="1" si="71"/>
        <v>201705</v>
      </c>
      <c r="F2305" s="22">
        <v>2017</v>
      </c>
    </row>
    <row r="2306" spans="1:6" ht="15.75">
      <c r="A2306" s="22" t="s">
        <v>1441</v>
      </c>
      <c r="B2306" s="26">
        <v>42887</v>
      </c>
      <c r="C2306" s="27">
        <v>0</v>
      </c>
      <c r="D2306" s="25" t="str">
        <f t="shared" si="70"/>
        <v>201722</v>
      </c>
      <c r="E2306" s="22" t="str">
        <f t="shared" ca="1" si="71"/>
        <v>201706</v>
      </c>
      <c r="F2306" s="22">
        <v>2017</v>
      </c>
    </row>
    <row r="2307" spans="1:6" ht="15.75">
      <c r="A2307" s="22" t="s">
        <v>1441</v>
      </c>
      <c r="B2307" s="26">
        <v>42888</v>
      </c>
      <c r="C2307" s="27">
        <v>0</v>
      </c>
      <c r="D2307" s="25" t="str">
        <f t="shared" ref="D2307:D2370" si="72">CONCATENATE(YEAR(B2307-WEEKDAY(B2307,3)+3),TEXT(WEEKNUM(B2307,21),"00"))</f>
        <v>201722</v>
      </c>
      <c r="E2307" s="22" t="str">
        <f t="shared" ref="E2307:E2370" ca="1" si="73">IF(
  AND(
    YEAR(B2307)=YEAR(TODAY())-1,
    MONTH(B2307)=MONTH(TODAY()),
    DAY(B2307)&gt;DAY($H$2)
  ),
  0,
  CONCATENATE(YEAR(B2307),TEXT(MONTH(B2307),"00"))
)</f>
        <v>201706</v>
      </c>
      <c r="F2307" s="22">
        <v>2017</v>
      </c>
    </row>
    <row r="2308" spans="1:6" ht="15.75">
      <c r="A2308" s="22" t="s">
        <v>1441</v>
      </c>
      <c r="B2308" s="26">
        <v>42889</v>
      </c>
      <c r="C2308" s="27">
        <v>0</v>
      </c>
      <c r="D2308" s="25" t="str">
        <f t="shared" si="72"/>
        <v>201722</v>
      </c>
      <c r="E2308" s="22" t="str">
        <f t="shared" ca="1" si="73"/>
        <v>201706</v>
      </c>
      <c r="F2308" s="22">
        <v>2017</v>
      </c>
    </row>
    <row r="2309" spans="1:6" ht="15.75">
      <c r="A2309" s="22" t="s">
        <v>1441</v>
      </c>
      <c r="B2309" s="26">
        <v>42890</v>
      </c>
      <c r="C2309" s="27">
        <v>0</v>
      </c>
      <c r="D2309" s="25" t="str">
        <f t="shared" si="72"/>
        <v>201722</v>
      </c>
      <c r="E2309" s="22" t="str">
        <f t="shared" ca="1" si="73"/>
        <v>201706</v>
      </c>
      <c r="F2309" s="22">
        <v>2017</v>
      </c>
    </row>
    <row r="2310" spans="1:6" ht="15.75">
      <c r="A2310" s="22" t="s">
        <v>1441</v>
      </c>
      <c r="B2310" s="26">
        <v>42891</v>
      </c>
      <c r="C2310" s="27">
        <v>0</v>
      </c>
      <c r="D2310" s="25" t="str">
        <f t="shared" si="72"/>
        <v>201723</v>
      </c>
      <c r="E2310" s="22" t="str">
        <f t="shared" ca="1" si="73"/>
        <v>201706</v>
      </c>
      <c r="F2310" s="22">
        <v>2017</v>
      </c>
    </row>
    <row r="2311" spans="1:6" ht="15.75">
      <c r="A2311" s="22" t="s">
        <v>1441</v>
      </c>
      <c r="B2311" s="26">
        <v>42892</v>
      </c>
      <c r="C2311" s="27">
        <v>0</v>
      </c>
      <c r="D2311" s="25" t="str">
        <f t="shared" si="72"/>
        <v>201723</v>
      </c>
      <c r="E2311" s="22" t="str">
        <f t="shared" ca="1" si="73"/>
        <v>201706</v>
      </c>
      <c r="F2311" s="22">
        <v>2017</v>
      </c>
    </row>
    <row r="2312" spans="1:6" ht="15.75">
      <c r="A2312" s="22" t="s">
        <v>1441</v>
      </c>
      <c r="B2312" s="26">
        <v>42893</v>
      </c>
      <c r="C2312" s="27">
        <v>0</v>
      </c>
      <c r="D2312" s="25" t="str">
        <f t="shared" si="72"/>
        <v>201723</v>
      </c>
      <c r="E2312" s="22" t="str">
        <f t="shared" ca="1" si="73"/>
        <v>201706</v>
      </c>
      <c r="F2312" s="22">
        <v>2017</v>
      </c>
    </row>
    <row r="2313" spans="1:6" ht="15.75">
      <c r="A2313" s="22" t="s">
        <v>1441</v>
      </c>
      <c r="B2313" s="26">
        <v>42894</v>
      </c>
      <c r="C2313" s="27">
        <v>0</v>
      </c>
      <c r="D2313" s="25" t="str">
        <f t="shared" si="72"/>
        <v>201723</v>
      </c>
      <c r="E2313" s="22" t="str">
        <f t="shared" ca="1" si="73"/>
        <v>201706</v>
      </c>
      <c r="F2313" s="22">
        <v>2017</v>
      </c>
    </row>
    <row r="2314" spans="1:6" ht="15.75">
      <c r="A2314" s="22" t="s">
        <v>1441</v>
      </c>
      <c r="B2314" s="26">
        <v>42895</v>
      </c>
      <c r="C2314" s="27">
        <v>0</v>
      </c>
      <c r="D2314" s="25" t="str">
        <f t="shared" si="72"/>
        <v>201723</v>
      </c>
      <c r="E2314" s="22" t="str">
        <f t="shared" ca="1" si="73"/>
        <v>201706</v>
      </c>
      <c r="F2314" s="22">
        <v>2017</v>
      </c>
    </row>
    <row r="2315" spans="1:6" ht="15.75">
      <c r="A2315" s="22" t="s">
        <v>1441</v>
      </c>
      <c r="B2315" s="26">
        <v>42896</v>
      </c>
      <c r="C2315" s="27">
        <v>0</v>
      </c>
      <c r="D2315" s="25" t="str">
        <f t="shared" si="72"/>
        <v>201723</v>
      </c>
      <c r="E2315" s="22" t="str">
        <f t="shared" ca="1" si="73"/>
        <v>201706</v>
      </c>
      <c r="F2315" s="22">
        <v>2017</v>
      </c>
    </row>
    <row r="2316" spans="1:6" ht="15.75">
      <c r="A2316" s="22" t="s">
        <v>1441</v>
      </c>
      <c r="B2316" s="26">
        <v>42897</v>
      </c>
      <c r="C2316" s="27">
        <v>0</v>
      </c>
      <c r="D2316" s="25" t="str">
        <f t="shared" si="72"/>
        <v>201723</v>
      </c>
      <c r="E2316" s="22" t="str">
        <f t="shared" ca="1" si="73"/>
        <v>201706</v>
      </c>
      <c r="F2316" s="22">
        <v>2017</v>
      </c>
    </row>
    <row r="2317" spans="1:6" ht="15.75">
      <c r="A2317" s="22" t="s">
        <v>1441</v>
      </c>
      <c r="B2317" s="26">
        <v>42898</v>
      </c>
      <c r="C2317" s="27">
        <v>0</v>
      </c>
      <c r="D2317" s="25" t="str">
        <f t="shared" si="72"/>
        <v>201724</v>
      </c>
      <c r="E2317" s="22" t="str">
        <f t="shared" ca="1" si="73"/>
        <v>201706</v>
      </c>
      <c r="F2317" s="22">
        <v>2017</v>
      </c>
    </row>
    <row r="2318" spans="1:6" ht="15.75">
      <c r="A2318" s="22" t="s">
        <v>1441</v>
      </c>
      <c r="B2318" s="26">
        <v>42899</v>
      </c>
      <c r="C2318" s="27">
        <v>0</v>
      </c>
      <c r="D2318" s="25" t="str">
        <f t="shared" si="72"/>
        <v>201724</v>
      </c>
      <c r="E2318" s="22" t="str">
        <f t="shared" ca="1" si="73"/>
        <v>201706</v>
      </c>
      <c r="F2318" s="22">
        <v>2017</v>
      </c>
    </row>
    <row r="2319" spans="1:6" ht="15.75">
      <c r="A2319" s="22" t="s">
        <v>1441</v>
      </c>
      <c r="B2319" s="26">
        <v>42900</v>
      </c>
      <c r="C2319" s="27">
        <v>0</v>
      </c>
      <c r="D2319" s="25" t="str">
        <f t="shared" si="72"/>
        <v>201724</v>
      </c>
      <c r="E2319" s="22" t="str">
        <f t="shared" ca="1" si="73"/>
        <v>201706</v>
      </c>
      <c r="F2319" s="22">
        <v>2017</v>
      </c>
    </row>
    <row r="2320" spans="1:6" ht="15.75">
      <c r="A2320" s="22" t="s">
        <v>1441</v>
      </c>
      <c r="B2320" s="26">
        <v>42901</v>
      </c>
      <c r="C2320" s="27">
        <v>0</v>
      </c>
      <c r="D2320" s="25" t="str">
        <f t="shared" si="72"/>
        <v>201724</v>
      </c>
      <c r="E2320" s="22" t="str">
        <f t="shared" ca="1" si="73"/>
        <v>201706</v>
      </c>
      <c r="F2320" s="22">
        <v>2017</v>
      </c>
    </row>
    <row r="2321" spans="1:6" ht="15.75">
      <c r="A2321" s="22" t="s">
        <v>1441</v>
      </c>
      <c r="B2321" s="26">
        <v>42902</v>
      </c>
      <c r="C2321" s="27">
        <v>0</v>
      </c>
      <c r="D2321" s="25" t="str">
        <f t="shared" si="72"/>
        <v>201724</v>
      </c>
      <c r="E2321" s="22" t="str">
        <f t="shared" ca="1" si="73"/>
        <v>201706</v>
      </c>
      <c r="F2321" s="22">
        <v>2017</v>
      </c>
    </row>
    <row r="2322" spans="1:6" ht="15.75">
      <c r="A2322" s="22" t="s">
        <v>1441</v>
      </c>
      <c r="B2322" s="26">
        <v>42903</v>
      </c>
      <c r="C2322" s="27">
        <v>0</v>
      </c>
      <c r="D2322" s="25" t="str">
        <f t="shared" si="72"/>
        <v>201724</v>
      </c>
      <c r="E2322" s="22" t="str">
        <f t="shared" ca="1" si="73"/>
        <v>201706</v>
      </c>
      <c r="F2322" s="22">
        <v>2017</v>
      </c>
    </row>
    <row r="2323" spans="1:6" ht="15.75">
      <c r="A2323" s="22" t="s">
        <v>1441</v>
      </c>
      <c r="B2323" s="26">
        <v>42904</v>
      </c>
      <c r="C2323" s="27">
        <v>0</v>
      </c>
      <c r="D2323" s="25" t="str">
        <f t="shared" si="72"/>
        <v>201724</v>
      </c>
      <c r="E2323" s="22" t="str">
        <f t="shared" ca="1" si="73"/>
        <v>201706</v>
      </c>
      <c r="F2323" s="22">
        <v>2017</v>
      </c>
    </row>
    <row r="2324" spans="1:6" ht="15.75">
      <c r="A2324" s="22" t="s">
        <v>1441</v>
      </c>
      <c r="B2324" s="26">
        <v>42905</v>
      </c>
      <c r="C2324" s="27">
        <v>0</v>
      </c>
      <c r="D2324" s="25" t="str">
        <f t="shared" si="72"/>
        <v>201725</v>
      </c>
      <c r="E2324" s="22" t="str">
        <f t="shared" ca="1" si="73"/>
        <v>201706</v>
      </c>
      <c r="F2324" s="22">
        <v>2017</v>
      </c>
    </row>
    <row r="2325" spans="1:6" ht="15.75">
      <c r="A2325" s="22" t="s">
        <v>1441</v>
      </c>
      <c r="B2325" s="26">
        <v>42906</v>
      </c>
      <c r="C2325" s="27">
        <v>0</v>
      </c>
      <c r="D2325" s="25" t="str">
        <f t="shared" si="72"/>
        <v>201725</v>
      </c>
      <c r="E2325" s="22" t="str">
        <f t="shared" ca="1" si="73"/>
        <v>201706</v>
      </c>
      <c r="F2325" s="22">
        <v>2017</v>
      </c>
    </row>
    <row r="2326" spans="1:6" ht="15.75">
      <c r="A2326" s="22" t="s">
        <v>1441</v>
      </c>
      <c r="B2326" s="26">
        <v>42907</v>
      </c>
      <c r="C2326" s="27">
        <v>0</v>
      </c>
      <c r="D2326" s="25" t="str">
        <f t="shared" si="72"/>
        <v>201725</v>
      </c>
      <c r="E2326" s="22" t="str">
        <f t="shared" ca="1" si="73"/>
        <v>201706</v>
      </c>
      <c r="F2326" s="22">
        <v>2017</v>
      </c>
    </row>
    <row r="2327" spans="1:6" ht="15.75">
      <c r="A2327" s="22" t="s">
        <v>1441</v>
      </c>
      <c r="B2327" s="26">
        <v>42908</v>
      </c>
      <c r="C2327" s="27">
        <v>0</v>
      </c>
      <c r="D2327" s="25" t="str">
        <f t="shared" si="72"/>
        <v>201725</v>
      </c>
      <c r="E2327" s="22" t="str">
        <f t="shared" ca="1" si="73"/>
        <v>201706</v>
      </c>
      <c r="F2327" s="22">
        <v>2017</v>
      </c>
    </row>
    <row r="2328" spans="1:6" ht="15.75">
      <c r="A2328" s="22" t="s">
        <v>1441</v>
      </c>
      <c r="B2328" s="26">
        <v>42909</v>
      </c>
      <c r="C2328" s="27">
        <v>0</v>
      </c>
      <c r="D2328" s="25" t="str">
        <f t="shared" si="72"/>
        <v>201725</v>
      </c>
      <c r="E2328" s="22" t="str">
        <f t="shared" ca="1" si="73"/>
        <v>201706</v>
      </c>
      <c r="F2328" s="22">
        <v>2017</v>
      </c>
    </row>
    <row r="2329" spans="1:6" ht="15.75">
      <c r="A2329" s="22" t="s">
        <v>1441</v>
      </c>
      <c r="B2329" s="26">
        <v>42910</v>
      </c>
      <c r="C2329" s="27">
        <v>0</v>
      </c>
      <c r="D2329" s="25" t="str">
        <f t="shared" si="72"/>
        <v>201725</v>
      </c>
      <c r="E2329" s="22" t="str">
        <f t="shared" ca="1" si="73"/>
        <v>201706</v>
      </c>
      <c r="F2329" s="22">
        <v>2017</v>
      </c>
    </row>
    <row r="2330" spans="1:6" ht="15.75">
      <c r="A2330" s="22" t="s">
        <v>1441</v>
      </c>
      <c r="B2330" s="26">
        <v>42911</v>
      </c>
      <c r="C2330" s="27">
        <v>0</v>
      </c>
      <c r="D2330" s="25" t="str">
        <f t="shared" si="72"/>
        <v>201725</v>
      </c>
      <c r="E2330" s="22" t="str">
        <f t="shared" ca="1" si="73"/>
        <v>201706</v>
      </c>
      <c r="F2330" s="22">
        <v>2017</v>
      </c>
    </row>
    <row r="2331" spans="1:6" ht="15.75">
      <c r="A2331" s="22" t="s">
        <v>1441</v>
      </c>
      <c r="B2331" s="26">
        <v>42912</v>
      </c>
      <c r="C2331" s="27">
        <v>0</v>
      </c>
      <c r="D2331" s="25" t="str">
        <f t="shared" si="72"/>
        <v>201726</v>
      </c>
      <c r="E2331" s="22" t="str">
        <f t="shared" ca="1" si="73"/>
        <v>201706</v>
      </c>
      <c r="F2331" s="22">
        <v>2017</v>
      </c>
    </row>
    <row r="2332" spans="1:6" ht="15.75">
      <c r="A2332" s="22" t="s">
        <v>1441</v>
      </c>
      <c r="B2332" s="26">
        <v>42913</v>
      </c>
      <c r="C2332" s="27">
        <v>0</v>
      </c>
      <c r="D2332" s="25" t="str">
        <f t="shared" si="72"/>
        <v>201726</v>
      </c>
      <c r="E2332" s="22" t="str">
        <f t="shared" ca="1" si="73"/>
        <v>201706</v>
      </c>
      <c r="F2332" s="22">
        <v>2017</v>
      </c>
    </row>
    <row r="2333" spans="1:6" ht="15.75">
      <c r="A2333" s="22" t="s">
        <v>1441</v>
      </c>
      <c r="B2333" s="26">
        <v>42914</v>
      </c>
      <c r="C2333" s="27">
        <v>0</v>
      </c>
      <c r="D2333" s="25" t="str">
        <f t="shared" si="72"/>
        <v>201726</v>
      </c>
      <c r="E2333" s="22" t="str">
        <f t="shared" ca="1" si="73"/>
        <v>201706</v>
      </c>
      <c r="F2333" s="22">
        <v>2017</v>
      </c>
    </row>
    <row r="2334" spans="1:6" ht="15.75">
      <c r="A2334" s="22" t="s">
        <v>1441</v>
      </c>
      <c r="B2334" s="26">
        <v>42915</v>
      </c>
      <c r="C2334" s="27">
        <v>0</v>
      </c>
      <c r="D2334" s="25" t="str">
        <f t="shared" si="72"/>
        <v>201726</v>
      </c>
      <c r="E2334" s="22" t="str">
        <f t="shared" ca="1" si="73"/>
        <v>201706</v>
      </c>
      <c r="F2334" s="22">
        <v>2017</v>
      </c>
    </row>
    <row r="2335" spans="1:6" ht="15.75">
      <c r="A2335" s="22" t="s">
        <v>1441</v>
      </c>
      <c r="B2335" s="26">
        <v>42916</v>
      </c>
      <c r="C2335" s="27">
        <v>0</v>
      </c>
      <c r="D2335" s="25" t="str">
        <f t="shared" si="72"/>
        <v>201726</v>
      </c>
      <c r="E2335" s="22" t="str">
        <f t="shared" ca="1" si="73"/>
        <v>201706</v>
      </c>
      <c r="F2335" s="22">
        <v>2017</v>
      </c>
    </row>
    <row r="2336" spans="1:6" ht="15.75">
      <c r="A2336" s="22" t="s">
        <v>1441</v>
      </c>
      <c r="B2336" s="26">
        <v>42917</v>
      </c>
      <c r="C2336" s="27">
        <v>0</v>
      </c>
      <c r="D2336" s="25" t="str">
        <f t="shared" si="72"/>
        <v>201726</v>
      </c>
      <c r="E2336" s="22" t="str">
        <f t="shared" ca="1" si="73"/>
        <v>201707</v>
      </c>
      <c r="F2336" s="22">
        <v>2017</v>
      </c>
    </row>
    <row r="2337" spans="1:6" ht="15.75">
      <c r="A2337" s="22" t="s">
        <v>1441</v>
      </c>
      <c r="B2337" s="26">
        <v>42918</v>
      </c>
      <c r="C2337" s="27">
        <v>0</v>
      </c>
      <c r="D2337" s="25" t="str">
        <f t="shared" si="72"/>
        <v>201726</v>
      </c>
      <c r="E2337" s="22" t="str">
        <f t="shared" ca="1" si="73"/>
        <v>201707</v>
      </c>
      <c r="F2337" s="22">
        <v>2017</v>
      </c>
    </row>
    <row r="2338" spans="1:6" ht="15.75">
      <c r="A2338" s="22" t="s">
        <v>1441</v>
      </c>
      <c r="B2338" s="26">
        <v>42919</v>
      </c>
      <c r="C2338" s="27">
        <v>0</v>
      </c>
      <c r="D2338" s="25" t="str">
        <f t="shared" si="72"/>
        <v>201727</v>
      </c>
      <c r="E2338" s="22" t="str">
        <f t="shared" ca="1" si="73"/>
        <v>201707</v>
      </c>
      <c r="F2338" s="22">
        <v>2017</v>
      </c>
    </row>
    <row r="2339" spans="1:6" ht="15.75">
      <c r="A2339" s="22" t="s">
        <v>1441</v>
      </c>
      <c r="B2339" s="26">
        <v>42920</v>
      </c>
      <c r="C2339" s="27">
        <v>0</v>
      </c>
      <c r="D2339" s="25" t="str">
        <f t="shared" si="72"/>
        <v>201727</v>
      </c>
      <c r="E2339" s="22" t="str">
        <f t="shared" ca="1" si="73"/>
        <v>201707</v>
      </c>
      <c r="F2339" s="22">
        <v>2017</v>
      </c>
    </row>
    <row r="2340" spans="1:6" ht="15.75">
      <c r="A2340" s="22" t="s">
        <v>1441</v>
      </c>
      <c r="B2340" s="26">
        <v>42921</v>
      </c>
      <c r="C2340" s="27">
        <v>0</v>
      </c>
      <c r="D2340" s="25" t="str">
        <f t="shared" si="72"/>
        <v>201727</v>
      </c>
      <c r="E2340" s="22" t="str">
        <f t="shared" ca="1" si="73"/>
        <v>201707</v>
      </c>
      <c r="F2340" s="22">
        <v>2017</v>
      </c>
    </row>
    <row r="2341" spans="1:6" ht="15.75">
      <c r="A2341" s="22" t="s">
        <v>1441</v>
      </c>
      <c r="B2341" s="26">
        <v>42922</v>
      </c>
      <c r="C2341" s="27">
        <v>0</v>
      </c>
      <c r="D2341" s="25" t="str">
        <f t="shared" si="72"/>
        <v>201727</v>
      </c>
      <c r="E2341" s="22" t="str">
        <f t="shared" ca="1" si="73"/>
        <v>201707</v>
      </c>
      <c r="F2341" s="22">
        <v>2017</v>
      </c>
    </row>
    <row r="2342" spans="1:6" ht="15.75">
      <c r="A2342" s="22" t="s">
        <v>1441</v>
      </c>
      <c r="B2342" s="26">
        <v>42923</v>
      </c>
      <c r="C2342" s="27">
        <v>0</v>
      </c>
      <c r="D2342" s="25" t="str">
        <f t="shared" si="72"/>
        <v>201727</v>
      </c>
      <c r="E2342" s="22" t="str">
        <f t="shared" ca="1" si="73"/>
        <v>201707</v>
      </c>
      <c r="F2342" s="22">
        <v>2017</v>
      </c>
    </row>
    <row r="2343" spans="1:6" ht="15.75">
      <c r="A2343" s="22" t="s">
        <v>1441</v>
      </c>
      <c r="B2343" s="26">
        <v>42924</v>
      </c>
      <c r="C2343" s="27">
        <v>0</v>
      </c>
      <c r="D2343" s="25" t="str">
        <f t="shared" si="72"/>
        <v>201727</v>
      </c>
      <c r="E2343" s="22" t="str">
        <f t="shared" ca="1" si="73"/>
        <v>201707</v>
      </c>
      <c r="F2343" s="22">
        <v>2017</v>
      </c>
    </row>
    <row r="2344" spans="1:6" ht="15.75">
      <c r="A2344" s="22" t="s">
        <v>1441</v>
      </c>
      <c r="B2344" s="26">
        <v>42925</v>
      </c>
      <c r="C2344" s="27">
        <v>0</v>
      </c>
      <c r="D2344" s="25" t="str">
        <f t="shared" si="72"/>
        <v>201727</v>
      </c>
      <c r="E2344" s="22" t="str">
        <f t="shared" ca="1" si="73"/>
        <v>201707</v>
      </c>
      <c r="F2344" s="22">
        <v>2017</v>
      </c>
    </row>
    <row r="2345" spans="1:6" ht="15.75">
      <c r="A2345" s="22" t="s">
        <v>1441</v>
      </c>
      <c r="B2345" s="26">
        <v>42926</v>
      </c>
      <c r="C2345" s="27">
        <v>0</v>
      </c>
      <c r="D2345" s="25" t="str">
        <f t="shared" si="72"/>
        <v>201728</v>
      </c>
      <c r="E2345" s="22" t="str">
        <f t="shared" ca="1" si="73"/>
        <v>201707</v>
      </c>
      <c r="F2345" s="22">
        <v>2017</v>
      </c>
    </row>
    <row r="2346" spans="1:6" ht="15.75">
      <c r="A2346" s="22" t="s">
        <v>1441</v>
      </c>
      <c r="B2346" s="26">
        <v>42927</v>
      </c>
      <c r="C2346" s="27">
        <v>0</v>
      </c>
      <c r="D2346" s="25" t="str">
        <f t="shared" si="72"/>
        <v>201728</v>
      </c>
      <c r="E2346" s="22" t="str">
        <f t="shared" ca="1" si="73"/>
        <v>201707</v>
      </c>
      <c r="F2346" s="22">
        <v>2017</v>
      </c>
    </row>
    <row r="2347" spans="1:6" ht="15.75">
      <c r="A2347" s="22" t="s">
        <v>1441</v>
      </c>
      <c r="B2347" s="26">
        <v>42928</v>
      </c>
      <c r="C2347" s="27">
        <v>0</v>
      </c>
      <c r="D2347" s="25" t="str">
        <f t="shared" si="72"/>
        <v>201728</v>
      </c>
      <c r="E2347" s="22" t="str">
        <f t="shared" ca="1" si="73"/>
        <v>201707</v>
      </c>
      <c r="F2347" s="22">
        <v>2017</v>
      </c>
    </row>
    <row r="2348" spans="1:6" ht="15.75">
      <c r="A2348" s="22" t="s">
        <v>1441</v>
      </c>
      <c r="B2348" s="26">
        <v>42929</v>
      </c>
      <c r="C2348" s="27">
        <v>0</v>
      </c>
      <c r="D2348" s="25" t="str">
        <f t="shared" si="72"/>
        <v>201728</v>
      </c>
      <c r="E2348" s="22" t="str">
        <f t="shared" ca="1" si="73"/>
        <v>201707</v>
      </c>
      <c r="F2348" s="22">
        <v>2017</v>
      </c>
    </row>
    <row r="2349" spans="1:6" ht="15.75">
      <c r="A2349" s="22" t="s">
        <v>1441</v>
      </c>
      <c r="B2349" s="26">
        <v>42930</v>
      </c>
      <c r="C2349" s="27">
        <v>0</v>
      </c>
      <c r="D2349" s="25" t="str">
        <f t="shared" si="72"/>
        <v>201728</v>
      </c>
      <c r="E2349" s="22" t="str">
        <f t="shared" ca="1" si="73"/>
        <v>201707</v>
      </c>
      <c r="F2349" s="22">
        <v>2017</v>
      </c>
    </row>
    <row r="2350" spans="1:6" ht="15.75">
      <c r="A2350" s="22" t="s">
        <v>1441</v>
      </c>
      <c r="B2350" s="26">
        <v>42931</v>
      </c>
      <c r="C2350" s="27">
        <v>0</v>
      </c>
      <c r="D2350" s="25" t="str">
        <f t="shared" si="72"/>
        <v>201728</v>
      </c>
      <c r="E2350" s="22" t="str">
        <f t="shared" ca="1" si="73"/>
        <v>201707</v>
      </c>
      <c r="F2350" s="22">
        <v>2017</v>
      </c>
    </row>
    <row r="2351" spans="1:6" ht="15.75">
      <c r="A2351" s="22" t="s">
        <v>1441</v>
      </c>
      <c r="B2351" s="26">
        <v>42932</v>
      </c>
      <c r="C2351" s="27">
        <v>0</v>
      </c>
      <c r="D2351" s="25" t="str">
        <f t="shared" si="72"/>
        <v>201728</v>
      </c>
      <c r="E2351" s="22" t="str">
        <f t="shared" ca="1" si="73"/>
        <v>201707</v>
      </c>
      <c r="F2351" s="22">
        <v>2017</v>
      </c>
    </row>
    <row r="2352" spans="1:6" ht="15.75">
      <c r="A2352" s="22" t="s">
        <v>1441</v>
      </c>
      <c r="B2352" s="26">
        <v>42933</v>
      </c>
      <c r="C2352" s="27">
        <v>0</v>
      </c>
      <c r="D2352" s="25" t="str">
        <f t="shared" si="72"/>
        <v>201729</v>
      </c>
      <c r="E2352" s="22" t="str">
        <f t="shared" ca="1" si="73"/>
        <v>201707</v>
      </c>
      <c r="F2352" s="22">
        <v>2017</v>
      </c>
    </row>
    <row r="2353" spans="1:6" ht="15.75">
      <c r="A2353" s="22" t="s">
        <v>1441</v>
      </c>
      <c r="B2353" s="26">
        <v>42934</v>
      </c>
      <c r="C2353" s="27">
        <v>0</v>
      </c>
      <c r="D2353" s="25" t="str">
        <f t="shared" si="72"/>
        <v>201729</v>
      </c>
      <c r="E2353" s="22" t="str">
        <f t="shared" ca="1" si="73"/>
        <v>201707</v>
      </c>
      <c r="F2353" s="22">
        <v>2017</v>
      </c>
    </row>
    <row r="2354" spans="1:6" ht="15.75">
      <c r="A2354" s="22" t="s">
        <v>1441</v>
      </c>
      <c r="B2354" s="26">
        <v>42935</v>
      </c>
      <c r="C2354" s="27">
        <v>0</v>
      </c>
      <c r="D2354" s="25" t="str">
        <f t="shared" si="72"/>
        <v>201729</v>
      </c>
      <c r="E2354" s="22" t="str">
        <f t="shared" ca="1" si="73"/>
        <v>201707</v>
      </c>
      <c r="F2354" s="22">
        <v>2017</v>
      </c>
    </row>
    <row r="2355" spans="1:6" ht="15.75">
      <c r="A2355" s="22" t="s">
        <v>1441</v>
      </c>
      <c r="B2355" s="26">
        <v>42936</v>
      </c>
      <c r="C2355" s="27">
        <v>0</v>
      </c>
      <c r="D2355" s="25" t="str">
        <f t="shared" si="72"/>
        <v>201729</v>
      </c>
      <c r="E2355" s="22" t="str">
        <f t="shared" ca="1" si="73"/>
        <v>201707</v>
      </c>
      <c r="F2355" s="22">
        <v>2017</v>
      </c>
    </row>
    <row r="2356" spans="1:6" ht="15.75">
      <c r="A2356" s="22" t="s">
        <v>1441</v>
      </c>
      <c r="B2356" s="26">
        <v>42937</v>
      </c>
      <c r="C2356" s="27">
        <v>0</v>
      </c>
      <c r="D2356" s="25" t="str">
        <f t="shared" si="72"/>
        <v>201729</v>
      </c>
      <c r="E2356" s="22" t="str">
        <f t="shared" ca="1" si="73"/>
        <v>201707</v>
      </c>
      <c r="F2356" s="22">
        <v>2017</v>
      </c>
    </row>
    <row r="2357" spans="1:6" ht="15.75">
      <c r="A2357" s="22" t="s">
        <v>1441</v>
      </c>
      <c r="B2357" s="26">
        <v>42938</v>
      </c>
      <c r="C2357" s="27">
        <v>0</v>
      </c>
      <c r="D2357" s="25" t="str">
        <f t="shared" si="72"/>
        <v>201729</v>
      </c>
      <c r="E2357" s="22" t="str">
        <f t="shared" ca="1" si="73"/>
        <v>201707</v>
      </c>
      <c r="F2357" s="22">
        <v>2017</v>
      </c>
    </row>
    <row r="2358" spans="1:6" ht="15.75">
      <c r="A2358" s="22" t="s">
        <v>1441</v>
      </c>
      <c r="B2358" s="26">
        <v>42939</v>
      </c>
      <c r="C2358" s="27">
        <v>0</v>
      </c>
      <c r="D2358" s="25" t="str">
        <f t="shared" si="72"/>
        <v>201729</v>
      </c>
      <c r="E2358" s="22" t="str">
        <f t="shared" ca="1" si="73"/>
        <v>201707</v>
      </c>
      <c r="F2358" s="22">
        <v>2017</v>
      </c>
    </row>
    <row r="2359" spans="1:6" ht="15.75">
      <c r="A2359" s="22" t="s">
        <v>1441</v>
      </c>
      <c r="B2359" s="26">
        <v>42940</v>
      </c>
      <c r="C2359" s="27">
        <v>0</v>
      </c>
      <c r="D2359" s="25" t="str">
        <f t="shared" si="72"/>
        <v>201730</v>
      </c>
      <c r="E2359" s="22" t="str">
        <f t="shared" ca="1" si="73"/>
        <v>201707</v>
      </c>
      <c r="F2359" s="22">
        <v>2017</v>
      </c>
    </row>
    <row r="2360" spans="1:6" ht="15.75">
      <c r="A2360" s="22" t="s">
        <v>1441</v>
      </c>
      <c r="B2360" s="26">
        <v>42941</v>
      </c>
      <c r="C2360" s="27">
        <v>0</v>
      </c>
      <c r="D2360" s="25" t="str">
        <f t="shared" si="72"/>
        <v>201730</v>
      </c>
      <c r="E2360" s="22" t="str">
        <f t="shared" ca="1" si="73"/>
        <v>201707</v>
      </c>
      <c r="F2360" s="22">
        <v>2017</v>
      </c>
    </row>
    <row r="2361" spans="1:6" ht="15.75">
      <c r="A2361" s="22" t="s">
        <v>1441</v>
      </c>
      <c r="B2361" s="26">
        <v>42942</v>
      </c>
      <c r="C2361" s="27">
        <v>0</v>
      </c>
      <c r="D2361" s="25" t="str">
        <f t="shared" si="72"/>
        <v>201730</v>
      </c>
      <c r="E2361" s="22" t="str">
        <f t="shared" ca="1" si="73"/>
        <v>201707</v>
      </c>
      <c r="F2361" s="22">
        <v>2017</v>
      </c>
    </row>
    <row r="2362" spans="1:6" ht="15.75">
      <c r="A2362" s="22" t="s">
        <v>1441</v>
      </c>
      <c r="B2362" s="26">
        <v>42943</v>
      </c>
      <c r="C2362" s="27">
        <v>0</v>
      </c>
      <c r="D2362" s="25" t="str">
        <f t="shared" si="72"/>
        <v>201730</v>
      </c>
      <c r="E2362" s="22" t="str">
        <f t="shared" ca="1" si="73"/>
        <v>201707</v>
      </c>
      <c r="F2362" s="22">
        <v>2017</v>
      </c>
    </row>
    <row r="2363" spans="1:6" ht="15.75">
      <c r="A2363" s="22" t="s">
        <v>1441</v>
      </c>
      <c r="B2363" s="26">
        <v>42944</v>
      </c>
      <c r="C2363" s="27">
        <v>0</v>
      </c>
      <c r="D2363" s="25" t="str">
        <f t="shared" si="72"/>
        <v>201730</v>
      </c>
      <c r="E2363" s="22" t="str">
        <f t="shared" ca="1" si="73"/>
        <v>201707</v>
      </c>
      <c r="F2363" s="22">
        <v>2017</v>
      </c>
    </row>
    <row r="2364" spans="1:6" ht="15.75">
      <c r="A2364" s="22" t="s">
        <v>1441</v>
      </c>
      <c r="B2364" s="26">
        <v>42945</v>
      </c>
      <c r="C2364" s="27">
        <v>0</v>
      </c>
      <c r="D2364" s="25" t="str">
        <f t="shared" si="72"/>
        <v>201730</v>
      </c>
      <c r="E2364" s="22" t="str">
        <f t="shared" ca="1" si="73"/>
        <v>201707</v>
      </c>
      <c r="F2364" s="22">
        <v>2017</v>
      </c>
    </row>
    <row r="2365" spans="1:6" ht="15.75">
      <c r="A2365" s="22" t="s">
        <v>1441</v>
      </c>
      <c r="B2365" s="26">
        <v>42946</v>
      </c>
      <c r="C2365" s="27">
        <v>0</v>
      </c>
      <c r="D2365" s="25" t="str">
        <f t="shared" si="72"/>
        <v>201730</v>
      </c>
      <c r="E2365" s="22" t="str">
        <f t="shared" ca="1" si="73"/>
        <v>201707</v>
      </c>
      <c r="F2365" s="22">
        <v>2017</v>
      </c>
    </row>
    <row r="2366" spans="1:6" ht="15.75">
      <c r="A2366" s="22" t="s">
        <v>1441</v>
      </c>
      <c r="B2366" s="26">
        <v>42947</v>
      </c>
      <c r="C2366" s="27">
        <v>0</v>
      </c>
      <c r="D2366" s="25" t="str">
        <f t="shared" si="72"/>
        <v>201731</v>
      </c>
      <c r="E2366" s="22" t="str">
        <f t="shared" ca="1" si="73"/>
        <v>201707</v>
      </c>
      <c r="F2366" s="22">
        <v>2017</v>
      </c>
    </row>
    <row r="2367" spans="1:6" ht="15.75">
      <c r="A2367" s="22" t="s">
        <v>1441</v>
      </c>
      <c r="B2367" s="26">
        <v>42948</v>
      </c>
      <c r="C2367" s="27">
        <v>0</v>
      </c>
      <c r="D2367" s="25" t="str">
        <f t="shared" si="72"/>
        <v>201731</v>
      </c>
      <c r="E2367" s="22" t="str">
        <f t="shared" ca="1" si="73"/>
        <v>201708</v>
      </c>
      <c r="F2367" s="22">
        <v>2017</v>
      </c>
    </row>
    <row r="2368" spans="1:6" ht="15.75">
      <c r="A2368" s="22" t="s">
        <v>1441</v>
      </c>
      <c r="B2368" s="26">
        <v>42949</v>
      </c>
      <c r="C2368" s="27">
        <v>0</v>
      </c>
      <c r="D2368" s="25" t="str">
        <f t="shared" si="72"/>
        <v>201731</v>
      </c>
      <c r="E2368" s="22" t="str">
        <f t="shared" ca="1" si="73"/>
        <v>201708</v>
      </c>
      <c r="F2368" s="22">
        <v>2017</v>
      </c>
    </row>
    <row r="2369" spans="1:6" ht="15.75">
      <c r="A2369" s="22" t="s">
        <v>1441</v>
      </c>
      <c r="B2369" s="26">
        <v>42950</v>
      </c>
      <c r="C2369" s="27">
        <v>0</v>
      </c>
      <c r="D2369" s="25" t="str">
        <f t="shared" si="72"/>
        <v>201731</v>
      </c>
      <c r="E2369" s="22" t="str">
        <f t="shared" ca="1" si="73"/>
        <v>201708</v>
      </c>
      <c r="F2369" s="22">
        <v>2017</v>
      </c>
    </row>
    <row r="2370" spans="1:6" ht="15.75">
      <c r="A2370" s="22" t="s">
        <v>1441</v>
      </c>
      <c r="B2370" s="26">
        <v>42951</v>
      </c>
      <c r="C2370" s="27">
        <v>0</v>
      </c>
      <c r="D2370" s="25" t="str">
        <f t="shared" si="72"/>
        <v>201731</v>
      </c>
      <c r="E2370" s="22" t="str">
        <f t="shared" ca="1" si="73"/>
        <v>201708</v>
      </c>
      <c r="F2370" s="22">
        <v>2017</v>
      </c>
    </row>
    <row r="2371" spans="1:6" ht="15.75">
      <c r="A2371" s="22" t="s">
        <v>1441</v>
      </c>
      <c r="B2371" s="26">
        <v>42952</v>
      </c>
      <c r="C2371" s="27">
        <v>0</v>
      </c>
      <c r="D2371" s="25" t="str">
        <f t="shared" ref="D2371:D2434" si="74">CONCATENATE(YEAR(B2371-WEEKDAY(B2371,3)+3),TEXT(WEEKNUM(B2371,21),"00"))</f>
        <v>201731</v>
      </c>
      <c r="E2371" s="22" t="str">
        <f t="shared" ref="E2371:E2434" ca="1" si="75">IF(
  AND(
    YEAR(B2371)=YEAR(TODAY())-1,
    MONTH(B2371)=MONTH(TODAY()),
    DAY(B2371)&gt;DAY($H$2)
  ),
  0,
  CONCATENATE(YEAR(B2371),TEXT(MONTH(B2371),"00"))
)</f>
        <v>201708</v>
      </c>
      <c r="F2371" s="22">
        <v>2017</v>
      </c>
    </row>
    <row r="2372" spans="1:6" ht="15.75">
      <c r="A2372" s="22" t="s">
        <v>1441</v>
      </c>
      <c r="B2372" s="26">
        <v>42953</v>
      </c>
      <c r="C2372" s="27">
        <v>0</v>
      </c>
      <c r="D2372" s="25" t="str">
        <f t="shared" si="74"/>
        <v>201731</v>
      </c>
      <c r="E2372" s="22" t="str">
        <f t="shared" ca="1" si="75"/>
        <v>201708</v>
      </c>
      <c r="F2372" s="22">
        <v>2017</v>
      </c>
    </row>
    <row r="2373" spans="1:6" ht="15.75">
      <c r="A2373" s="22" t="s">
        <v>1441</v>
      </c>
      <c r="B2373" s="26">
        <v>42954</v>
      </c>
      <c r="C2373" s="27">
        <v>0</v>
      </c>
      <c r="D2373" s="25" t="str">
        <f t="shared" si="74"/>
        <v>201732</v>
      </c>
      <c r="E2373" s="22" t="str">
        <f t="shared" ca="1" si="75"/>
        <v>201708</v>
      </c>
      <c r="F2373" s="22">
        <v>2017</v>
      </c>
    </row>
    <row r="2374" spans="1:6" ht="15.75">
      <c r="A2374" s="22" t="s">
        <v>1441</v>
      </c>
      <c r="B2374" s="26">
        <v>42955</v>
      </c>
      <c r="C2374" s="27">
        <v>0</v>
      </c>
      <c r="D2374" s="25" t="str">
        <f t="shared" si="74"/>
        <v>201732</v>
      </c>
      <c r="E2374" s="22" t="str">
        <f t="shared" ca="1" si="75"/>
        <v>201708</v>
      </c>
      <c r="F2374" s="22">
        <v>2017</v>
      </c>
    </row>
    <row r="2375" spans="1:6" ht="15.75">
      <c r="A2375" s="22" t="s">
        <v>1441</v>
      </c>
      <c r="B2375" s="26">
        <v>42956</v>
      </c>
      <c r="C2375" s="27">
        <v>0</v>
      </c>
      <c r="D2375" s="25" t="str">
        <f t="shared" si="74"/>
        <v>201732</v>
      </c>
      <c r="E2375" s="22" t="str">
        <f t="shared" ca="1" si="75"/>
        <v>201708</v>
      </c>
      <c r="F2375" s="22">
        <v>2017</v>
      </c>
    </row>
    <row r="2376" spans="1:6" ht="15.75">
      <c r="A2376" s="22" t="s">
        <v>1441</v>
      </c>
      <c r="B2376" s="26">
        <v>42957</v>
      </c>
      <c r="C2376" s="27">
        <v>0</v>
      </c>
      <c r="D2376" s="25" t="str">
        <f t="shared" si="74"/>
        <v>201732</v>
      </c>
      <c r="E2376" s="22" t="str">
        <f t="shared" ca="1" si="75"/>
        <v>201708</v>
      </c>
      <c r="F2376" s="22">
        <v>2017</v>
      </c>
    </row>
    <row r="2377" spans="1:6" ht="15.75">
      <c r="A2377" s="22" t="s">
        <v>1441</v>
      </c>
      <c r="B2377" s="26">
        <v>42958</v>
      </c>
      <c r="C2377" s="27">
        <v>0</v>
      </c>
      <c r="D2377" s="25" t="str">
        <f t="shared" si="74"/>
        <v>201732</v>
      </c>
      <c r="E2377" s="22" t="str">
        <f t="shared" ca="1" si="75"/>
        <v>201708</v>
      </c>
      <c r="F2377" s="22">
        <v>2017</v>
      </c>
    </row>
    <row r="2378" spans="1:6" ht="15.75">
      <c r="A2378" s="22" t="s">
        <v>1441</v>
      </c>
      <c r="B2378" s="26">
        <v>42959</v>
      </c>
      <c r="C2378" s="27">
        <v>0</v>
      </c>
      <c r="D2378" s="25" t="str">
        <f t="shared" si="74"/>
        <v>201732</v>
      </c>
      <c r="E2378" s="22" t="str">
        <f t="shared" ca="1" si="75"/>
        <v>201708</v>
      </c>
      <c r="F2378" s="22">
        <v>2017</v>
      </c>
    </row>
    <row r="2379" spans="1:6" ht="15.75">
      <c r="A2379" s="22" t="s">
        <v>1441</v>
      </c>
      <c r="B2379" s="26">
        <v>42960</v>
      </c>
      <c r="C2379" s="27">
        <v>0</v>
      </c>
      <c r="D2379" s="25" t="str">
        <f t="shared" si="74"/>
        <v>201732</v>
      </c>
      <c r="E2379" s="22" t="str">
        <f t="shared" ca="1" si="75"/>
        <v>201708</v>
      </c>
      <c r="F2379" s="22">
        <v>2017</v>
      </c>
    </row>
    <row r="2380" spans="1:6" ht="15.75">
      <c r="A2380" s="22" t="s">
        <v>1441</v>
      </c>
      <c r="B2380" s="26">
        <v>42961</v>
      </c>
      <c r="C2380" s="27">
        <v>0</v>
      </c>
      <c r="D2380" s="25" t="str">
        <f t="shared" si="74"/>
        <v>201733</v>
      </c>
      <c r="E2380" s="22" t="str">
        <f t="shared" ca="1" si="75"/>
        <v>201708</v>
      </c>
      <c r="F2380" s="22">
        <v>2017</v>
      </c>
    </row>
    <row r="2381" spans="1:6" ht="15.75">
      <c r="A2381" s="22" t="s">
        <v>1441</v>
      </c>
      <c r="B2381" s="26">
        <v>42962</v>
      </c>
      <c r="C2381" s="27">
        <v>0</v>
      </c>
      <c r="D2381" s="25" t="str">
        <f t="shared" si="74"/>
        <v>201733</v>
      </c>
      <c r="E2381" s="22" t="str">
        <f t="shared" ca="1" si="75"/>
        <v>201708</v>
      </c>
      <c r="F2381" s="22">
        <v>2017</v>
      </c>
    </row>
    <row r="2382" spans="1:6" ht="15.75">
      <c r="A2382" s="22" t="s">
        <v>1441</v>
      </c>
      <c r="B2382" s="26">
        <v>42963</v>
      </c>
      <c r="C2382" s="27">
        <v>0</v>
      </c>
      <c r="D2382" s="25" t="str">
        <f t="shared" si="74"/>
        <v>201733</v>
      </c>
      <c r="E2382" s="22" t="str">
        <f t="shared" ca="1" si="75"/>
        <v>201708</v>
      </c>
      <c r="F2382" s="22">
        <v>2017</v>
      </c>
    </row>
    <row r="2383" spans="1:6" ht="15.75">
      <c r="A2383" s="22" t="s">
        <v>1441</v>
      </c>
      <c r="B2383" s="26">
        <v>42964</v>
      </c>
      <c r="C2383" s="27">
        <v>0</v>
      </c>
      <c r="D2383" s="25" t="str">
        <f t="shared" si="74"/>
        <v>201733</v>
      </c>
      <c r="E2383" s="22" t="str">
        <f t="shared" ca="1" si="75"/>
        <v>201708</v>
      </c>
      <c r="F2383" s="22">
        <v>2017</v>
      </c>
    </row>
    <row r="2384" spans="1:6" ht="15.75">
      <c r="A2384" s="22" t="s">
        <v>1441</v>
      </c>
      <c r="B2384" s="26">
        <v>42965</v>
      </c>
      <c r="C2384" s="27">
        <v>0</v>
      </c>
      <c r="D2384" s="25" t="str">
        <f t="shared" si="74"/>
        <v>201733</v>
      </c>
      <c r="E2384" s="22" t="str">
        <f t="shared" ca="1" si="75"/>
        <v>201708</v>
      </c>
      <c r="F2384" s="22">
        <v>2017</v>
      </c>
    </row>
    <row r="2385" spans="1:6" ht="15.75">
      <c r="A2385" s="22" t="s">
        <v>1441</v>
      </c>
      <c r="B2385" s="26">
        <v>42966</v>
      </c>
      <c r="C2385" s="27">
        <v>0</v>
      </c>
      <c r="D2385" s="25" t="str">
        <f t="shared" si="74"/>
        <v>201733</v>
      </c>
      <c r="E2385" s="22" t="str">
        <f t="shared" ca="1" si="75"/>
        <v>201708</v>
      </c>
      <c r="F2385" s="22">
        <v>2017</v>
      </c>
    </row>
    <row r="2386" spans="1:6" ht="15.75">
      <c r="A2386" s="22" t="s">
        <v>1441</v>
      </c>
      <c r="B2386" s="26">
        <v>42967</v>
      </c>
      <c r="C2386" s="27">
        <v>0</v>
      </c>
      <c r="D2386" s="25" t="str">
        <f t="shared" si="74"/>
        <v>201733</v>
      </c>
      <c r="E2386" s="22" t="str">
        <f t="shared" ca="1" si="75"/>
        <v>201708</v>
      </c>
      <c r="F2386" s="22">
        <v>2017</v>
      </c>
    </row>
    <row r="2387" spans="1:6" ht="15.75">
      <c r="A2387" s="22" t="s">
        <v>1441</v>
      </c>
      <c r="B2387" s="26">
        <v>42968</v>
      </c>
      <c r="C2387" s="27">
        <v>0</v>
      </c>
      <c r="D2387" s="25" t="str">
        <f t="shared" si="74"/>
        <v>201734</v>
      </c>
      <c r="E2387" s="22" t="str">
        <f t="shared" ca="1" si="75"/>
        <v>201708</v>
      </c>
      <c r="F2387" s="22">
        <v>2017</v>
      </c>
    </row>
    <row r="2388" spans="1:6" ht="15.75">
      <c r="A2388" s="22" t="s">
        <v>1441</v>
      </c>
      <c r="B2388" s="26">
        <v>42969</v>
      </c>
      <c r="C2388" s="27">
        <v>0</v>
      </c>
      <c r="D2388" s="25" t="str">
        <f t="shared" si="74"/>
        <v>201734</v>
      </c>
      <c r="E2388" s="22" t="str">
        <f t="shared" ca="1" si="75"/>
        <v>201708</v>
      </c>
      <c r="F2388" s="22">
        <v>2017</v>
      </c>
    </row>
    <row r="2389" spans="1:6" ht="15.75">
      <c r="A2389" s="22" t="s">
        <v>1441</v>
      </c>
      <c r="B2389" s="26">
        <v>42970</v>
      </c>
      <c r="C2389" s="27">
        <v>0</v>
      </c>
      <c r="D2389" s="25" t="str">
        <f t="shared" si="74"/>
        <v>201734</v>
      </c>
      <c r="E2389" s="22" t="str">
        <f t="shared" ca="1" si="75"/>
        <v>201708</v>
      </c>
      <c r="F2389" s="22">
        <v>2017</v>
      </c>
    </row>
    <row r="2390" spans="1:6" ht="15.75">
      <c r="A2390" s="22" t="s">
        <v>1441</v>
      </c>
      <c r="B2390" s="26">
        <v>42971</v>
      </c>
      <c r="C2390" s="27">
        <v>0</v>
      </c>
      <c r="D2390" s="25" t="str">
        <f t="shared" si="74"/>
        <v>201734</v>
      </c>
      <c r="E2390" s="22" t="str">
        <f t="shared" ca="1" si="75"/>
        <v>201708</v>
      </c>
      <c r="F2390" s="22">
        <v>2017</v>
      </c>
    </row>
    <row r="2391" spans="1:6" ht="15.75">
      <c r="A2391" s="22" t="s">
        <v>1441</v>
      </c>
      <c r="B2391" s="26">
        <v>42972</v>
      </c>
      <c r="C2391" s="27">
        <v>0</v>
      </c>
      <c r="D2391" s="25" t="str">
        <f t="shared" si="74"/>
        <v>201734</v>
      </c>
      <c r="E2391" s="22" t="str">
        <f t="shared" ca="1" si="75"/>
        <v>201708</v>
      </c>
      <c r="F2391" s="22">
        <v>2017</v>
      </c>
    </row>
    <row r="2392" spans="1:6" ht="15.75">
      <c r="A2392" s="22" t="s">
        <v>1441</v>
      </c>
      <c r="B2392" s="26">
        <v>42973</v>
      </c>
      <c r="C2392" s="27">
        <v>0</v>
      </c>
      <c r="D2392" s="25" t="str">
        <f t="shared" si="74"/>
        <v>201734</v>
      </c>
      <c r="E2392" s="22" t="str">
        <f t="shared" ca="1" si="75"/>
        <v>201708</v>
      </c>
      <c r="F2392" s="22">
        <v>2017</v>
      </c>
    </row>
    <row r="2393" spans="1:6" ht="15.75">
      <c r="A2393" s="22" t="s">
        <v>1441</v>
      </c>
      <c r="B2393" s="26">
        <v>42974</v>
      </c>
      <c r="C2393" s="27">
        <v>0</v>
      </c>
      <c r="D2393" s="25" t="str">
        <f t="shared" si="74"/>
        <v>201734</v>
      </c>
      <c r="E2393" s="22" t="str">
        <f t="shared" ca="1" si="75"/>
        <v>201708</v>
      </c>
      <c r="F2393" s="22">
        <v>2017</v>
      </c>
    </row>
    <row r="2394" spans="1:6" ht="15.75">
      <c r="A2394" s="22" t="s">
        <v>1441</v>
      </c>
      <c r="B2394" s="26">
        <v>42975</v>
      </c>
      <c r="C2394" s="27">
        <v>0</v>
      </c>
      <c r="D2394" s="25" t="str">
        <f t="shared" si="74"/>
        <v>201735</v>
      </c>
      <c r="E2394" s="22" t="str">
        <f t="shared" ca="1" si="75"/>
        <v>201708</v>
      </c>
      <c r="F2394" s="22">
        <v>2017</v>
      </c>
    </row>
    <row r="2395" spans="1:6" ht="15.75">
      <c r="A2395" s="22" t="s">
        <v>1441</v>
      </c>
      <c r="B2395" s="26">
        <v>42976</v>
      </c>
      <c r="C2395" s="27">
        <v>0</v>
      </c>
      <c r="D2395" s="25" t="str">
        <f t="shared" si="74"/>
        <v>201735</v>
      </c>
      <c r="E2395" s="22" t="str">
        <f t="shared" ca="1" si="75"/>
        <v>201708</v>
      </c>
      <c r="F2395" s="22">
        <v>2017</v>
      </c>
    </row>
    <row r="2396" spans="1:6" ht="15.75">
      <c r="A2396" s="22" t="s">
        <v>1441</v>
      </c>
      <c r="B2396" s="26">
        <v>42977</v>
      </c>
      <c r="C2396" s="27">
        <v>0</v>
      </c>
      <c r="D2396" s="25" t="str">
        <f t="shared" si="74"/>
        <v>201735</v>
      </c>
      <c r="E2396" s="22" t="str">
        <f t="shared" ca="1" si="75"/>
        <v>201708</v>
      </c>
      <c r="F2396" s="22">
        <v>2017</v>
      </c>
    </row>
    <row r="2397" spans="1:6" ht="15.75">
      <c r="A2397" s="22" t="s">
        <v>1441</v>
      </c>
      <c r="B2397" s="26">
        <v>42978</v>
      </c>
      <c r="C2397" s="27">
        <v>0</v>
      </c>
      <c r="D2397" s="25" t="str">
        <f t="shared" si="74"/>
        <v>201735</v>
      </c>
      <c r="E2397" s="22" t="str">
        <f t="shared" ca="1" si="75"/>
        <v>201708</v>
      </c>
      <c r="F2397" s="22">
        <v>2017</v>
      </c>
    </row>
    <row r="2398" spans="1:6" ht="15.75">
      <c r="A2398" s="22" t="s">
        <v>1441</v>
      </c>
      <c r="B2398" s="26">
        <v>42979</v>
      </c>
      <c r="C2398" s="27">
        <v>0</v>
      </c>
      <c r="D2398" s="25" t="str">
        <f t="shared" si="74"/>
        <v>201735</v>
      </c>
      <c r="E2398" s="22" t="str">
        <f t="shared" ca="1" si="75"/>
        <v>201709</v>
      </c>
      <c r="F2398" s="22">
        <v>2017</v>
      </c>
    </row>
    <row r="2399" spans="1:6" ht="15.75">
      <c r="A2399" s="22" t="s">
        <v>1441</v>
      </c>
      <c r="B2399" s="26">
        <v>42980</v>
      </c>
      <c r="C2399" s="27">
        <v>0</v>
      </c>
      <c r="D2399" s="25" t="str">
        <f t="shared" si="74"/>
        <v>201735</v>
      </c>
      <c r="E2399" s="22" t="str">
        <f t="shared" ca="1" si="75"/>
        <v>201709</v>
      </c>
      <c r="F2399" s="22">
        <v>2017</v>
      </c>
    </row>
    <row r="2400" spans="1:6" ht="15.75">
      <c r="A2400" s="22" t="s">
        <v>1441</v>
      </c>
      <c r="B2400" s="26">
        <v>42981</v>
      </c>
      <c r="C2400" s="27">
        <v>0</v>
      </c>
      <c r="D2400" s="25" t="str">
        <f t="shared" si="74"/>
        <v>201735</v>
      </c>
      <c r="E2400" s="22" t="str">
        <f t="shared" ca="1" si="75"/>
        <v>201709</v>
      </c>
      <c r="F2400" s="22">
        <v>2017</v>
      </c>
    </row>
    <row r="2401" spans="1:6" ht="15.75">
      <c r="A2401" s="22" t="s">
        <v>1441</v>
      </c>
      <c r="B2401" s="26">
        <v>42982</v>
      </c>
      <c r="C2401" s="27">
        <v>0</v>
      </c>
      <c r="D2401" s="25" t="str">
        <f t="shared" si="74"/>
        <v>201736</v>
      </c>
      <c r="E2401" s="22" t="str">
        <f t="shared" ca="1" si="75"/>
        <v>201709</v>
      </c>
      <c r="F2401" s="22">
        <v>2017</v>
      </c>
    </row>
    <row r="2402" spans="1:6" ht="15.75">
      <c r="A2402" s="22" t="s">
        <v>1441</v>
      </c>
      <c r="B2402" s="26">
        <v>42983</v>
      </c>
      <c r="C2402" s="27">
        <v>0</v>
      </c>
      <c r="D2402" s="25" t="str">
        <f t="shared" si="74"/>
        <v>201736</v>
      </c>
      <c r="E2402" s="22" t="str">
        <f t="shared" ca="1" si="75"/>
        <v>201709</v>
      </c>
      <c r="F2402" s="22">
        <v>2017</v>
      </c>
    </row>
    <row r="2403" spans="1:6" ht="15.75">
      <c r="A2403" s="22" t="s">
        <v>1441</v>
      </c>
      <c r="B2403" s="26">
        <v>42984</v>
      </c>
      <c r="C2403" s="27">
        <v>0</v>
      </c>
      <c r="D2403" s="25" t="str">
        <f t="shared" si="74"/>
        <v>201736</v>
      </c>
      <c r="E2403" s="22" t="str">
        <f t="shared" ca="1" si="75"/>
        <v>201709</v>
      </c>
      <c r="F2403" s="22">
        <v>2017</v>
      </c>
    </row>
    <row r="2404" spans="1:6" ht="15.75">
      <c r="A2404" s="22" t="s">
        <v>1441</v>
      </c>
      <c r="B2404" s="26">
        <v>42985</v>
      </c>
      <c r="C2404" s="27">
        <v>0</v>
      </c>
      <c r="D2404" s="25" t="str">
        <f t="shared" si="74"/>
        <v>201736</v>
      </c>
      <c r="E2404" s="22" t="str">
        <f t="shared" ca="1" si="75"/>
        <v>201709</v>
      </c>
      <c r="F2404" s="22">
        <v>2017</v>
      </c>
    </row>
    <row r="2405" spans="1:6" ht="15.75">
      <c r="A2405" s="22" t="s">
        <v>1441</v>
      </c>
      <c r="B2405" s="26">
        <v>42986</v>
      </c>
      <c r="C2405" s="27">
        <v>0</v>
      </c>
      <c r="D2405" s="25" t="str">
        <f t="shared" si="74"/>
        <v>201736</v>
      </c>
      <c r="E2405" s="22" t="str">
        <f t="shared" ca="1" si="75"/>
        <v>201709</v>
      </c>
      <c r="F2405" s="22">
        <v>2017</v>
      </c>
    </row>
    <row r="2406" spans="1:6" ht="15.75">
      <c r="A2406" s="22" t="s">
        <v>1441</v>
      </c>
      <c r="B2406" s="26">
        <v>42987</v>
      </c>
      <c r="C2406" s="27">
        <v>0</v>
      </c>
      <c r="D2406" s="25" t="str">
        <f t="shared" si="74"/>
        <v>201736</v>
      </c>
      <c r="E2406" s="22" t="str">
        <f t="shared" ca="1" si="75"/>
        <v>201709</v>
      </c>
      <c r="F2406" s="22">
        <v>2017</v>
      </c>
    </row>
    <row r="2407" spans="1:6" ht="15.75">
      <c r="A2407" s="22" t="s">
        <v>1441</v>
      </c>
      <c r="B2407" s="26">
        <v>42988</v>
      </c>
      <c r="C2407" s="27">
        <v>0</v>
      </c>
      <c r="D2407" s="25" t="str">
        <f t="shared" si="74"/>
        <v>201736</v>
      </c>
      <c r="E2407" s="22" t="str">
        <f t="shared" ca="1" si="75"/>
        <v>201709</v>
      </c>
      <c r="F2407" s="22">
        <v>2017</v>
      </c>
    </row>
    <row r="2408" spans="1:6" ht="15.75">
      <c r="A2408" s="22" t="s">
        <v>1441</v>
      </c>
      <c r="B2408" s="26">
        <v>42989</v>
      </c>
      <c r="C2408" s="27">
        <v>0</v>
      </c>
      <c r="D2408" s="25" t="str">
        <f t="shared" si="74"/>
        <v>201737</v>
      </c>
      <c r="E2408" s="22" t="str">
        <f t="shared" ca="1" si="75"/>
        <v>201709</v>
      </c>
      <c r="F2408" s="22">
        <v>2017</v>
      </c>
    </row>
    <row r="2409" spans="1:6" ht="15.75">
      <c r="A2409" s="22" t="s">
        <v>1441</v>
      </c>
      <c r="B2409" s="26">
        <v>42990</v>
      </c>
      <c r="C2409" s="27">
        <v>0</v>
      </c>
      <c r="D2409" s="25" t="str">
        <f t="shared" si="74"/>
        <v>201737</v>
      </c>
      <c r="E2409" s="22" t="str">
        <f t="shared" ca="1" si="75"/>
        <v>201709</v>
      </c>
      <c r="F2409" s="22">
        <v>2017</v>
      </c>
    </row>
    <row r="2410" spans="1:6" ht="15.75">
      <c r="A2410" s="22" t="s">
        <v>1441</v>
      </c>
      <c r="B2410" s="26">
        <v>42991</v>
      </c>
      <c r="C2410" s="27">
        <v>0</v>
      </c>
      <c r="D2410" s="25" t="str">
        <f t="shared" si="74"/>
        <v>201737</v>
      </c>
      <c r="E2410" s="22" t="str">
        <f t="shared" ca="1" si="75"/>
        <v>201709</v>
      </c>
      <c r="F2410" s="22">
        <v>2017</v>
      </c>
    </row>
    <row r="2411" spans="1:6" ht="15.75">
      <c r="A2411" s="22" t="s">
        <v>1441</v>
      </c>
      <c r="B2411" s="26">
        <v>42992</v>
      </c>
      <c r="C2411" s="27">
        <v>0</v>
      </c>
      <c r="D2411" s="25" t="str">
        <f t="shared" si="74"/>
        <v>201737</v>
      </c>
      <c r="E2411" s="22" t="str">
        <f t="shared" ca="1" si="75"/>
        <v>201709</v>
      </c>
      <c r="F2411" s="22">
        <v>2017</v>
      </c>
    </row>
    <row r="2412" spans="1:6" ht="15.75">
      <c r="A2412" s="22" t="s">
        <v>1441</v>
      </c>
      <c r="B2412" s="26">
        <v>42993</v>
      </c>
      <c r="C2412" s="27">
        <v>0</v>
      </c>
      <c r="D2412" s="25" t="str">
        <f t="shared" si="74"/>
        <v>201737</v>
      </c>
      <c r="E2412" s="22" t="str">
        <f t="shared" ca="1" si="75"/>
        <v>201709</v>
      </c>
      <c r="F2412" s="22">
        <v>2017</v>
      </c>
    </row>
    <row r="2413" spans="1:6" ht="15.75">
      <c r="A2413" s="22" t="s">
        <v>1441</v>
      </c>
      <c r="B2413" s="26">
        <v>42994</v>
      </c>
      <c r="C2413" s="27">
        <v>0</v>
      </c>
      <c r="D2413" s="25" t="str">
        <f t="shared" si="74"/>
        <v>201737</v>
      </c>
      <c r="E2413" s="22" t="str">
        <f t="shared" ca="1" si="75"/>
        <v>201709</v>
      </c>
      <c r="F2413" s="22">
        <v>2017</v>
      </c>
    </row>
    <row r="2414" spans="1:6" ht="15.75">
      <c r="A2414" s="22" t="s">
        <v>1441</v>
      </c>
      <c r="B2414" s="26">
        <v>42995</v>
      </c>
      <c r="C2414" s="27">
        <v>0</v>
      </c>
      <c r="D2414" s="25" t="str">
        <f t="shared" si="74"/>
        <v>201737</v>
      </c>
      <c r="E2414" s="22" t="str">
        <f t="shared" ca="1" si="75"/>
        <v>201709</v>
      </c>
      <c r="F2414" s="22">
        <v>2017</v>
      </c>
    </row>
    <row r="2415" spans="1:6" ht="15.75">
      <c r="A2415" s="22" t="s">
        <v>1441</v>
      </c>
      <c r="B2415" s="26">
        <v>42996</v>
      </c>
      <c r="C2415" s="27">
        <v>0</v>
      </c>
      <c r="D2415" s="25" t="str">
        <f t="shared" si="74"/>
        <v>201738</v>
      </c>
      <c r="E2415" s="22" t="str">
        <f t="shared" ca="1" si="75"/>
        <v>201709</v>
      </c>
      <c r="F2415" s="22">
        <v>2017</v>
      </c>
    </row>
    <row r="2416" spans="1:6" ht="15.75">
      <c r="A2416" s="22" t="s">
        <v>1441</v>
      </c>
      <c r="B2416" s="26">
        <v>42997</v>
      </c>
      <c r="C2416" s="27">
        <v>0</v>
      </c>
      <c r="D2416" s="25" t="str">
        <f t="shared" si="74"/>
        <v>201738</v>
      </c>
      <c r="E2416" s="22" t="str">
        <f t="shared" ca="1" si="75"/>
        <v>201709</v>
      </c>
      <c r="F2416" s="22">
        <v>2017</v>
      </c>
    </row>
    <row r="2417" spans="1:6" ht="15.75">
      <c r="A2417" s="22" t="s">
        <v>1441</v>
      </c>
      <c r="B2417" s="26">
        <v>42998</v>
      </c>
      <c r="C2417" s="27">
        <v>0</v>
      </c>
      <c r="D2417" s="25" t="str">
        <f t="shared" si="74"/>
        <v>201738</v>
      </c>
      <c r="E2417" s="22" t="str">
        <f t="shared" ca="1" si="75"/>
        <v>201709</v>
      </c>
      <c r="F2417" s="22">
        <v>2017</v>
      </c>
    </row>
    <row r="2418" spans="1:6" ht="15.75">
      <c r="A2418" s="22" t="s">
        <v>1441</v>
      </c>
      <c r="B2418" s="26">
        <v>42999</v>
      </c>
      <c r="C2418" s="27">
        <v>0</v>
      </c>
      <c r="D2418" s="25" t="str">
        <f t="shared" si="74"/>
        <v>201738</v>
      </c>
      <c r="E2418" s="22" t="str">
        <f t="shared" ca="1" si="75"/>
        <v>201709</v>
      </c>
      <c r="F2418" s="22">
        <v>2017</v>
      </c>
    </row>
    <row r="2419" spans="1:6" ht="15.75">
      <c r="A2419" s="22" t="s">
        <v>1441</v>
      </c>
      <c r="B2419" s="26">
        <v>43000</v>
      </c>
      <c r="C2419" s="27">
        <v>0</v>
      </c>
      <c r="D2419" s="25" t="str">
        <f t="shared" si="74"/>
        <v>201738</v>
      </c>
      <c r="E2419" s="22" t="str">
        <f t="shared" ca="1" si="75"/>
        <v>201709</v>
      </c>
      <c r="F2419" s="22">
        <v>2017</v>
      </c>
    </row>
    <row r="2420" spans="1:6" ht="15.75">
      <c r="A2420" s="22" t="s">
        <v>1441</v>
      </c>
      <c r="B2420" s="26">
        <v>43001</v>
      </c>
      <c r="C2420" s="27">
        <v>0</v>
      </c>
      <c r="D2420" s="25" t="str">
        <f t="shared" si="74"/>
        <v>201738</v>
      </c>
      <c r="E2420" s="22" t="str">
        <f t="shared" ca="1" si="75"/>
        <v>201709</v>
      </c>
      <c r="F2420" s="22">
        <v>2017</v>
      </c>
    </row>
    <row r="2421" spans="1:6" ht="15.75">
      <c r="A2421" s="22" t="s">
        <v>1441</v>
      </c>
      <c r="B2421" s="26">
        <v>43002</v>
      </c>
      <c r="C2421" s="27">
        <v>0</v>
      </c>
      <c r="D2421" s="25" t="str">
        <f t="shared" si="74"/>
        <v>201738</v>
      </c>
      <c r="E2421" s="22" t="str">
        <f t="shared" ca="1" si="75"/>
        <v>201709</v>
      </c>
      <c r="F2421" s="22">
        <v>2017</v>
      </c>
    </row>
    <row r="2422" spans="1:6" ht="15.75">
      <c r="A2422" s="22" t="s">
        <v>1441</v>
      </c>
      <c r="B2422" s="26">
        <v>43003</v>
      </c>
      <c r="C2422" s="27">
        <v>0</v>
      </c>
      <c r="D2422" s="25" t="str">
        <f t="shared" si="74"/>
        <v>201739</v>
      </c>
      <c r="E2422" s="22" t="str">
        <f t="shared" ca="1" si="75"/>
        <v>201709</v>
      </c>
      <c r="F2422" s="22">
        <v>2017</v>
      </c>
    </row>
    <row r="2423" spans="1:6" ht="15.75">
      <c r="A2423" s="22" t="s">
        <v>1441</v>
      </c>
      <c r="B2423" s="26">
        <v>43004</v>
      </c>
      <c r="C2423" s="27">
        <v>0</v>
      </c>
      <c r="D2423" s="25" t="str">
        <f t="shared" si="74"/>
        <v>201739</v>
      </c>
      <c r="E2423" s="22" t="str">
        <f t="shared" ca="1" si="75"/>
        <v>201709</v>
      </c>
      <c r="F2423" s="22">
        <v>2017</v>
      </c>
    </row>
    <row r="2424" spans="1:6" ht="15.75">
      <c r="A2424" s="22" t="s">
        <v>1441</v>
      </c>
      <c r="B2424" s="26">
        <v>43005</v>
      </c>
      <c r="C2424" s="27">
        <v>0</v>
      </c>
      <c r="D2424" s="25" t="str">
        <f t="shared" si="74"/>
        <v>201739</v>
      </c>
      <c r="E2424" s="22" t="str">
        <f t="shared" ca="1" si="75"/>
        <v>201709</v>
      </c>
      <c r="F2424" s="22">
        <v>2017</v>
      </c>
    </row>
    <row r="2425" spans="1:6" ht="15.75">
      <c r="A2425" s="22" t="s">
        <v>1441</v>
      </c>
      <c r="B2425" s="26">
        <v>43006</v>
      </c>
      <c r="C2425" s="27">
        <v>0</v>
      </c>
      <c r="D2425" s="25" t="str">
        <f t="shared" si="74"/>
        <v>201739</v>
      </c>
      <c r="E2425" s="22" t="str">
        <f t="shared" ca="1" si="75"/>
        <v>201709</v>
      </c>
      <c r="F2425" s="22">
        <v>2017</v>
      </c>
    </row>
    <row r="2426" spans="1:6" ht="15.75">
      <c r="A2426" s="22" t="s">
        <v>1441</v>
      </c>
      <c r="B2426" s="26">
        <v>43007</v>
      </c>
      <c r="C2426" s="27">
        <v>0</v>
      </c>
      <c r="D2426" s="25" t="str">
        <f t="shared" si="74"/>
        <v>201739</v>
      </c>
      <c r="E2426" s="22" t="str">
        <f t="shared" ca="1" si="75"/>
        <v>201709</v>
      </c>
      <c r="F2426" s="22">
        <v>2017</v>
      </c>
    </row>
    <row r="2427" spans="1:6" ht="15.75">
      <c r="A2427" s="22" t="s">
        <v>1441</v>
      </c>
      <c r="B2427" s="26">
        <v>43008</v>
      </c>
      <c r="C2427" s="27">
        <v>0</v>
      </c>
      <c r="D2427" s="25" t="str">
        <f t="shared" si="74"/>
        <v>201739</v>
      </c>
      <c r="E2427" s="22" t="str">
        <f t="shared" ca="1" si="75"/>
        <v>201709</v>
      </c>
      <c r="F2427" s="22">
        <v>2017</v>
      </c>
    </row>
    <row r="2428" spans="1:6" ht="15.75">
      <c r="A2428" s="22" t="s">
        <v>1441</v>
      </c>
      <c r="B2428" s="26">
        <v>43009</v>
      </c>
      <c r="C2428" s="27">
        <v>0</v>
      </c>
      <c r="D2428" s="25" t="str">
        <f t="shared" si="74"/>
        <v>201739</v>
      </c>
      <c r="E2428" s="22" t="str">
        <f t="shared" ca="1" si="75"/>
        <v>201710</v>
      </c>
      <c r="F2428" s="22">
        <v>2017</v>
      </c>
    </row>
    <row r="2429" spans="1:6" ht="15.75">
      <c r="A2429" s="22" t="s">
        <v>1441</v>
      </c>
      <c r="B2429" s="26">
        <v>43010</v>
      </c>
      <c r="C2429" s="27">
        <v>0</v>
      </c>
      <c r="D2429" s="25" t="str">
        <f t="shared" si="74"/>
        <v>201740</v>
      </c>
      <c r="E2429" s="22" t="str">
        <f t="shared" ca="1" si="75"/>
        <v>201710</v>
      </c>
      <c r="F2429" s="22">
        <v>2017</v>
      </c>
    </row>
    <row r="2430" spans="1:6" ht="15.75">
      <c r="A2430" s="22" t="s">
        <v>1441</v>
      </c>
      <c r="B2430" s="26">
        <v>43011</v>
      </c>
      <c r="C2430" s="27">
        <v>0</v>
      </c>
      <c r="D2430" s="25" t="str">
        <f t="shared" si="74"/>
        <v>201740</v>
      </c>
      <c r="E2430" s="22" t="str">
        <f t="shared" ca="1" si="75"/>
        <v>201710</v>
      </c>
      <c r="F2430" s="22">
        <v>2017</v>
      </c>
    </row>
    <row r="2431" spans="1:6" ht="15.75">
      <c r="A2431" s="22" t="s">
        <v>1441</v>
      </c>
      <c r="B2431" s="26">
        <v>43012</v>
      </c>
      <c r="C2431" s="27">
        <v>0</v>
      </c>
      <c r="D2431" s="25" t="str">
        <f t="shared" si="74"/>
        <v>201740</v>
      </c>
      <c r="E2431" s="22" t="str">
        <f t="shared" ca="1" si="75"/>
        <v>201710</v>
      </c>
      <c r="F2431" s="22">
        <v>2017</v>
      </c>
    </row>
    <row r="2432" spans="1:6" ht="15.75">
      <c r="A2432" s="22" t="s">
        <v>1441</v>
      </c>
      <c r="B2432" s="26">
        <v>43013</v>
      </c>
      <c r="C2432" s="27">
        <v>0</v>
      </c>
      <c r="D2432" s="25" t="str">
        <f t="shared" si="74"/>
        <v>201740</v>
      </c>
      <c r="E2432" s="22" t="str">
        <f t="shared" ca="1" si="75"/>
        <v>201710</v>
      </c>
      <c r="F2432" s="22">
        <v>2017</v>
      </c>
    </row>
    <row r="2433" spans="1:6" ht="15.75">
      <c r="A2433" s="22" t="s">
        <v>1441</v>
      </c>
      <c r="B2433" s="26">
        <v>43014</v>
      </c>
      <c r="C2433" s="27">
        <v>0</v>
      </c>
      <c r="D2433" s="25" t="str">
        <f t="shared" si="74"/>
        <v>201740</v>
      </c>
      <c r="E2433" s="22" t="str">
        <f t="shared" ca="1" si="75"/>
        <v>201710</v>
      </c>
      <c r="F2433" s="22">
        <v>2017</v>
      </c>
    </row>
    <row r="2434" spans="1:6" ht="15.75">
      <c r="A2434" s="22" t="s">
        <v>1441</v>
      </c>
      <c r="B2434" s="26">
        <v>43015</v>
      </c>
      <c r="C2434" s="27">
        <v>0</v>
      </c>
      <c r="D2434" s="25" t="str">
        <f t="shared" si="74"/>
        <v>201740</v>
      </c>
      <c r="E2434" s="22" t="str">
        <f t="shared" ca="1" si="75"/>
        <v>201710</v>
      </c>
      <c r="F2434" s="22">
        <v>2017</v>
      </c>
    </row>
    <row r="2435" spans="1:6" ht="15.75">
      <c r="A2435" s="22" t="s">
        <v>1441</v>
      </c>
      <c r="B2435" s="26">
        <v>43016</v>
      </c>
      <c r="C2435" s="27">
        <v>0</v>
      </c>
      <c r="D2435" s="25" t="str">
        <f t="shared" ref="D2435:D2498" si="76">CONCATENATE(YEAR(B2435-WEEKDAY(B2435,3)+3),TEXT(WEEKNUM(B2435,21),"00"))</f>
        <v>201740</v>
      </c>
      <c r="E2435" s="22" t="str">
        <f t="shared" ref="E2435:E2498" ca="1" si="77">IF(
  AND(
    YEAR(B2435)=YEAR(TODAY())-1,
    MONTH(B2435)=MONTH(TODAY()),
    DAY(B2435)&gt;DAY($H$2)
  ),
  0,
  CONCATENATE(YEAR(B2435),TEXT(MONTH(B2435),"00"))
)</f>
        <v>201710</v>
      </c>
      <c r="F2435" s="22">
        <v>2017</v>
      </c>
    </row>
    <row r="2436" spans="1:6" ht="15.75">
      <c r="A2436" s="22" t="s">
        <v>1441</v>
      </c>
      <c r="B2436" s="26">
        <v>43017</v>
      </c>
      <c r="C2436" s="27">
        <v>0</v>
      </c>
      <c r="D2436" s="25" t="str">
        <f t="shared" si="76"/>
        <v>201741</v>
      </c>
      <c r="E2436" s="22" t="str">
        <f t="shared" ca="1" si="77"/>
        <v>201710</v>
      </c>
      <c r="F2436" s="22">
        <v>2017</v>
      </c>
    </row>
    <row r="2437" spans="1:6" ht="15.75">
      <c r="A2437" s="22" t="s">
        <v>1441</v>
      </c>
      <c r="B2437" s="26">
        <v>43018</v>
      </c>
      <c r="C2437" s="27">
        <v>0</v>
      </c>
      <c r="D2437" s="25" t="str">
        <f t="shared" si="76"/>
        <v>201741</v>
      </c>
      <c r="E2437" s="22" t="str">
        <f t="shared" ca="1" si="77"/>
        <v>201710</v>
      </c>
      <c r="F2437" s="22">
        <v>2017</v>
      </c>
    </row>
    <row r="2438" spans="1:6" ht="15.75">
      <c r="A2438" s="22" t="s">
        <v>1441</v>
      </c>
      <c r="B2438" s="26">
        <v>43019</v>
      </c>
      <c r="C2438" s="27">
        <v>0</v>
      </c>
      <c r="D2438" s="25" t="str">
        <f t="shared" si="76"/>
        <v>201741</v>
      </c>
      <c r="E2438" s="22" t="str">
        <f t="shared" ca="1" si="77"/>
        <v>201710</v>
      </c>
      <c r="F2438" s="22">
        <v>2017</v>
      </c>
    </row>
    <row r="2439" spans="1:6" ht="15.75">
      <c r="A2439" s="22" t="s">
        <v>1441</v>
      </c>
      <c r="B2439" s="26">
        <v>43020</v>
      </c>
      <c r="C2439" s="27">
        <v>0</v>
      </c>
      <c r="D2439" s="25" t="str">
        <f t="shared" si="76"/>
        <v>201741</v>
      </c>
      <c r="E2439" s="22" t="str">
        <f t="shared" ca="1" si="77"/>
        <v>201710</v>
      </c>
      <c r="F2439" s="22">
        <v>2017</v>
      </c>
    </row>
    <row r="2440" spans="1:6" ht="15.75">
      <c r="A2440" s="22" t="s">
        <v>1441</v>
      </c>
      <c r="B2440" s="26">
        <v>43021</v>
      </c>
      <c r="C2440" s="27">
        <v>0</v>
      </c>
      <c r="D2440" s="25" t="str">
        <f t="shared" si="76"/>
        <v>201741</v>
      </c>
      <c r="E2440" s="22" t="str">
        <f t="shared" ca="1" si="77"/>
        <v>201710</v>
      </c>
      <c r="F2440" s="22">
        <v>2017</v>
      </c>
    </row>
    <row r="2441" spans="1:6" ht="15.75">
      <c r="A2441" s="22" t="s">
        <v>1441</v>
      </c>
      <c r="B2441" s="26">
        <v>43022</v>
      </c>
      <c r="C2441" s="27">
        <v>0</v>
      </c>
      <c r="D2441" s="25" t="str">
        <f t="shared" si="76"/>
        <v>201741</v>
      </c>
      <c r="E2441" s="22" t="str">
        <f t="shared" ca="1" si="77"/>
        <v>201710</v>
      </c>
      <c r="F2441" s="22">
        <v>2017</v>
      </c>
    </row>
    <row r="2442" spans="1:6" ht="15.75">
      <c r="A2442" s="22" t="s">
        <v>1441</v>
      </c>
      <c r="B2442" s="26">
        <v>43023</v>
      </c>
      <c r="C2442" s="27">
        <v>0</v>
      </c>
      <c r="D2442" s="25" t="str">
        <f t="shared" si="76"/>
        <v>201741</v>
      </c>
      <c r="E2442" s="22" t="str">
        <f t="shared" ca="1" si="77"/>
        <v>201710</v>
      </c>
      <c r="F2442" s="22">
        <v>2017</v>
      </c>
    </row>
    <row r="2443" spans="1:6" ht="15.75">
      <c r="A2443" s="22" t="s">
        <v>1441</v>
      </c>
      <c r="B2443" s="26">
        <v>43024</v>
      </c>
      <c r="C2443" s="27">
        <v>0</v>
      </c>
      <c r="D2443" s="25" t="str">
        <f t="shared" si="76"/>
        <v>201742</v>
      </c>
      <c r="E2443" s="22" t="str">
        <f t="shared" ca="1" si="77"/>
        <v>201710</v>
      </c>
      <c r="F2443" s="22">
        <v>2017</v>
      </c>
    </row>
    <row r="2444" spans="1:6" ht="15.75">
      <c r="A2444" s="22" t="s">
        <v>1441</v>
      </c>
      <c r="B2444" s="26">
        <v>43025</v>
      </c>
      <c r="C2444" s="27">
        <v>0</v>
      </c>
      <c r="D2444" s="25" t="str">
        <f t="shared" si="76"/>
        <v>201742</v>
      </c>
      <c r="E2444" s="22" t="str">
        <f t="shared" ca="1" si="77"/>
        <v>201710</v>
      </c>
      <c r="F2444" s="22">
        <v>2017</v>
      </c>
    </row>
    <row r="2445" spans="1:6" ht="15.75">
      <c r="A2445" s="22" t="s">
        <v>1441</v>
      </c>
      <c r="B2445" s="26">
        <v>43026</v>
      </c>
      <c r="C2445" s="27">
        <v>0</v>
      </c>
      <c r="D2445" s="25" t="str">
        <f t="shared" si="76"/>
        <v>201742</v>
      </c>
      <c r="E2445" s="22" t="str">
        <f t="shared" ca="1" si="77"/>
        <v>201710</v>
      </c>
      <c r="F2445" s="22">
        <v>2017</v>
      </c>
    </row>
    <row r="2446" spans="1:6" ht="15.75">
      <c r="A2446" s="22" t="s">
        <v>1441</v>
      </c>
      <c r="B2446" s="26">
        <v>43027</v>
      </c>
      <c r="C2446" s="27">
        <v>0</v>
      </c>
      <c r="D2446" s="25" t="str">
        <f t="shared" si="76"/>
        <v>201742</v>
      </c>
      <c r="E2446" s="22" t="str">
        <f t="shared" ca="1" si="77"/>
        <v>201710</v>
      </c>
      <c r="F2446" s="22">
        <v>2017</v>
      </c>
    </row>
    <row r="2447" spans="1:6" ht="15.75">
      <c r="A2447" s="22" t="s">
        <v>1441</v>
      </c>
      <c r="B2447" s="26">
        <v>43028</v>
      </c>
      <c r="C2447" s="27">
        <v>0</v>
      </c>
      <c r="D2447" s="25" t="str">
        <f t="shared" si="76"/>
        <v>201742</v>
      </c>
      <c r="E2447" s="22" t="str">
        <f t="shared" ca="1" si="77"/>
        <v>201710</v>
      </c>
      <c r="F2447" s="22">
        <v>2017</v>
      </c>
    </row>
    <row r="2448" spans="1:6" ht="15.75">
      <c r="A2448" s="22" t="s">
        <v>1441</v>
      </c>
      <c r="B2448" s="26">
        <v>43029</v>
      </c>
      <c r="C2448" s="27">
        <v>0</v>
      </c>
      <c r="D2448" s="25" t="str">
        <f t="shared" si="76"/>
        <v>201742</v>
      </c>
      <c r="E2448" s="22" t="str">
        <f t="shared" ca="1" si="77"/>
        <v>201710</v>
      </c>
      <c r="F2448" s="22">
        <v>2017</v>
      </c>
    </row>
    <row r="2449" spans="1:6" ht="15.75">
      <c r="A2449" s="22" t="s">
        <v>1441</v>
      </c>
      <c r="B2449" s="26">
        <v>43030</v>
      </c>
      <c r="C2449" s="27">
        <v>0</v>
      </c>
      <c r="D2449" s="25" t="str">
        <f t="shared" si="76"/>
        <v>201742</v>
      </c>
      <c r="E2449" s="22" t="str">
        <f t="shared" ca="1" si="77"/>
        <v>201710</v>
      </c>
      <c r="F2449" s="22">
        <v>2017</v>
      </c>
    </row>
    <row r="2450" spans="1:6" ht="15.75">
      <c r="A2450" s="22" t="s">
        <v>1441</v>
      </c>
      <c r="B2450" s="26">
        <v>43031</v>
      </c>
      <c r="C2450" s="27">
        <v>0</v>
      </c>
      <c r="D2450" s="25" t="str">
        <f t="shared" si="76"/>
        <v>201743</v>
      </c>
      <c r="E2450" s="22" t="str">
        <f t="shared" ca="1" si="77"/>
        <v>201710</v>
      </c>
      <c r="F2450" s="22">
        <v>2017</v>
      </c>
    </row>
    <row r="2451" spans="1:6" ht="15.75">
      <c r="A2451" s="22" t="s">
        <v>1441</v>
      </c>
      <c r="B2451" s="26">
        <v>43032</v>
      </c>
      <c r="C2451" s="27">
        <v>0</v>
      </c>
      <c r="D2451" s="25" t="str">
        <f t="shared" si="76"/>
        <v>201743</v>
      </c>
      <c r="E2451" s="22" t="str">
        <f t="shared" ca="1" si="77"/>
        <v>201710</v>
      </c>
      <c r="F2451" s="22">
        <v>2017</v>
      </c>
    </row>
    <row r="2452" spans="1:6" ht="15.75">
      <c r="A2452" s="22" t="s">
        <v>1441</v>
      </c>
      <c r="B2452" s="26">
        <v>43033</v>
      </c>
      <c r="C2452" s="27">
        <v>0</v>
      </c>
      <c r="D2452" s="25" t="str">
        <f t="shared" si="76"/>
        <v>201743</v>
      </c>
      <c r="E2452" s="22" t="str">
        <f t="shared" ca="1" si="77"/>
        <v>201710</v>
      </c>
      <c r="F2452" s="22">
        <v>2017</v>
      </c>
    </row>
    <row r="2453" spans="1:6" ht="15.75">
      <c r="A2453" s="22" t="s">
        <v>1441</v>
      </c>
      <c r="B2453" s="26">
        <v>43034</v>
      </c>
      <c r="C2453" s="27">
        <v>0</v>
      </c>
      <c r="D2453" s="25" t="str">
        <f t="shared" si="76"/>
        <v>201743</v>
      </c>
      <c r="E2453" s="22" t="str">
        <f t="shared" ca="1" si="77"/>
        <v>201710</v>
      </c>
      <c r="F2453" s="22">
        <v>2017</v>
      </c>
    </row>
    <row r="2454" spans="1:6" ht="15.75">
      <c r="A2454" s="22" t="s">
        <v>1441</v>
      </c>
      <c r="B2454" s="26">
        <v>43035</v>
      </c>
      <c r="C2454" s="27">
        <v>0</v>
      </c>
      <c r="D2454" s="25" t="str">
        <f t="shared" si="76"/>
        <v>201743</v>
      </c>
      <c r="E2454" s="22" t="str">
        <f t="shared" ca="1" si="77"/>
        <v>201710</v>
      </c>
      <c r="F2454" s="22">
        <v>2017</v>
      </c>
    </row>
    <row r="2455" spans="1:6" ht="15.75">
      <c r="A2455" s="22" t="s">
        <v>1441</v>
      </c>
      <c r="B2455" s="26">
        <v>43036</v>
      </c>
      <c r="C2455" s="27">
        <v>0</v>
      </c>
      <c r="D2455" s="25" t="str">
        <f t="shared" si="76"/>
        <v>201743</v>
      </c>
      <c r="E2455" s="22" t="str">
        <f t="shared" ca="1" si="77"/>
        <v>201710</v>
      </c>
      <c r="F2455" s="22">
        <v>2017</v>
      </c>
    </row>
    <row r="2456" spans="1:6" ht="15.75">
      <c r="A2456" s="22" t="s">
        <v>1441</v>
      </c>
      <c r="B2456" s="26">
        <v>43037</v>
      </c>
      <c r="C2456" s="27">
        <v>0</v>
      </c>
      <c r="D2456" s="25" t="str">
        <f t="shared" si="76"/>
        <v>201743</v>
      </c>
      <c r="E2456" s="22" t="str">
        <f t="shared" ca="1" si="77"/>
        <v>201710</v>
      </c>
      <c r="F2456" s="22">
        <v>2017</v>
      </c>
    </row>
    <row r="2457" spans="1:6" ht="15.75">
      <c r="A2457" s="22" t="s">
        <v>1441</v>
      </c>
      <c r="B2457" s="26">
        <v>43038</v>
      </c>
      <c r="C2457" s="27">
        <v>0</v>
      </c>
      <c r="D2457" s="25" t="str">
        <f t="shared" si="76"/>
        <v>201744</v>
      </c>
      <c r="E2457" s="22" t="str">
        <f t="shared" ca="1" si="77"/>
        <v>201710</v>
      </c>
      <c r="F2457" s="22">
        <v>2017</v>
      </c>
    </row>
    <row r="2458" spans="1:6" ht="15.75">
      <c r="A2458" s="22" t="s">
        <v>1441</v>
      </c>
      <c r="B2458" s="26">
        <v>43039</v>
      </c>
      <c r="C2458" s="27">
        <v>0</v>
      </c>
      <c r="D2458" s="25" t="str">
        <f t="shared" si="76"/>
        <v>201744</v>
      </c>
      <c r="E2458" s="22" t="str">
        <f t="shared" ca="1" si="77"/>
        <v>201710</v>
      </c>
      <c r="F2458" s="22">
        <v>2017</v>
      </c>
    </row>
    <row r="2459" spans="1:6" ht="15.75">
      <c r="A2459" s="22" t="s">
        <v>1441</v>
      </c>
      <c r="B2459" s="26">
        <v>43040</v>
      </c>
      <c r="C2459" s="27">
        <v>0</v>
      </c>
      <c r="D2459" s="25" t="str">
        <f t="shared" si="76"/>
        <v>201744</v>
      </c>
      <c r="E2459" s="22" t="str">
        <f t="shared" ca="1" si="77"/>
        <v>201711</v>
      </c>
      <c r="F2459" s="22">
        <v>2018</v>
      </c>
    </row>
    <row r="2460" spans="1:6" ht="15.75">
      <c r="A2460" s="22" t="s">
        <v>1441</v>
      </c>
      <c r="B2460" s="26">
        <v>43041</v>
      </c>
      <c r="C2460" s="27">
        <v>0</v>
      </c>
      <c r="D2460" s="25" t="str">
        <f t="shared" si="76"/>
        <v>201744</v>
      </c>
      <c r="E2460" s="22" t="str">
        <f t="shared" ca="1" si="77"/>
        <v>201711</v>
      </c>
      <c r="F2460" s="22">
        <v>2018</v>
      </c>
    </row>
    <row r="2461" spans="1:6" ht="15.75">
      <c r="A2461" s="22" t="s">
        <v>1441</v>
      </c>
      <c r="B2461" s="26">
        <v>43042</v>
      </c>
      <c r="C2461" s="27">
        <v>0</v>
      </c>
      <c r="D2461" s="25" t="str">
        <f t="shared" si="76"/>
        <v>201744</v>
      </c>
      <c r="E2461" s="22" t="str">
        <f t="shared" ca="1" si="77"/>
        <v>201711</v>
      </c>
      <c r="F2461" s="22">
        <v>2018</v>
      </c>
    </row>
    <row r="2462" spans="1:6" ht="15.75">
      <c r="A2462" s="22" t="s">
        <v>1441</v>
      </c>
      <c r="B2462" s="26">
        <v>43043</v>
      </c>
      <c r="C2462" s="27">
        <v>0</v>
      </c>
      <c r="D2462" s="25" t="str">
        <f t="shared" si="76"/>
        <v>201744</v>
      </c>
      <c r="E2462" s="22" t="str">
        <f t="shared" ca="1" si="77"/>
        <v>201711</v>
      </c>
      <c r="F2462" s="22">
        <v>2018</v>
      </c>
    </row>
    <row r="2463" spans="1:6" ht="15.75">
      <c r="A2463" s="22" t="s">
        <v>1441</v>
      </c>
      <c r="B2463" s="26">
        <v>43044</v>
      </c>
      <c r="C2463" s="27">
        <v>0</v>
      </c>
      <c r="D2463" s="25" t="str">
        <f t="shared" si="76"/>
        <v>201744</v>
      </c>
      <c r="E2463" s="22" t="str">
        <f t="shared" ca="1" si="77"/>
        <v>201711</v>
      </c>
      <c r="F2463" s="22">
        <v>2018</v>
      </c>
    </row>
    <row r="2464" spans="1:6" ht="15.75">
      <c r="A2464" s="22" t="s">
        <v>1441</v>
      </c>
      <c r="B2464" s="26">
        <v>43045</v>
      </c>
      <c r="C2464" s="27">
        <v>0</v>
      </c>
      <c r="D2464" s="25" t="str">
        <f t="shared" si="76"/>
        <v>201745</v>
      </c>
      <c r="E2464" s="22" t="str">
        <f t="shared" ca="1" si="77"/>
        <v>201711</v>
      </c>
      <c r="F2464" s="22">
        <v>2018</v>
      </c>
    </row>
    <row r="2465" spans="1:6" ht="15.75">
      <c r="A2465" s="22" t="s">
        <v>1441</v>
      </c>
      <c r="B2465" s="26">
        <v>43046</v>
      </c>
      <c r="C2465" s="27">
        <v>0</v>
      </c>
      <c r="D2465" s="25" t="str">
        <f t="shared" si="76"/>
        <v>201745</v>
      </c>
      <c r="E2465" s="22" t="str">
        <f t="shared" ca="1" si="77"/>
        <v>201711</v>
      </c>
      <c r="F2465" s="22">
        <v>2018</v>
      </c>
    </row>
    <row r="2466" spans="1:6" ht="15.75">
      <c r="A2466" s="22" t="s">
        <v>1441</v>
      </c>
      <c r="B2466" s="26">
        <v>43047</v>
      </c>
      <c r="C2466" s="27">
        <v>0</v>
      </c>
      <c r="D2466" s="25" t="str">
        <f t="shared" si="76"/>
        <v>201745</v>
      </c>
      <c r="E2466" s="22" t="str">
        <f t="shared" ca="1" si="77"/>
        <v>201711</v>
      </c>
      <c r="F2466" s="22">
        <v>2018</v>
      </c>
    </row>
    <row r="2467" spans="1:6" ht="15.75">
      <c r="A2467" s="22" t="s">
        <v>1441</v>
      </c>
      <c r="B2467" s="26">
        <v>43048</v>
      </c>
      <c r="C2467" s="27">
        <v>0</v>
      </c>
      <c r="D2467" s="25" t="str">
        <f t="shared" si="76"/>
        <v>201745</v>
      </c>
      <c r="E2467" s="22" t="str">
        <f t="shared" ca="1" si="77"/>
        <v>201711</v>
      </c>
      <c r="F2467" s="22">
        <v>2018</v>
      </c>
    </row>
    <row r="2468" spans="1:6" ht="15.75">
      <c r="A2468" s="22" t="s">
        <v>1441</v>
      </c>
      <c r="B2468" s="26">
        <v>43049</v>
      </c>
      <c r="C2468" s="27">
        <v>0</v>
      </c>
      <c r="D2468" s="25" t="str">
        <f t="shared" si="76"/>
        <v>201745</v>
      </c>
      <c r="E2468" s="22" t="str">
        <f t="shared" ca="1" si="77"/>
        <v>201711</v>
      </c>
      <c r="F2468" s="22">
        <v>2018</v>
      </c>
    </row>
    <row r="2469" spans="1:6" ht="15.75">
      <c r="A2469" s="22" t="s">
        <v>1441</v>
      </c>
      <c r="B2469" s="26">
        <v>43050</v>
      </c>
      <c r="C2469" s="27">
        <v>0</v>
      </c>
      <c r="D2469" s="25" t="str">
        <f t="shared" si="76"/>
        <v>201745</v>
      </c>
      <c r="E2469" s="22" t="str">
        <f t="shared" ca="1" si="77"/>
        <v>201711</v>
      </c>
      <c r="F2469" s="22">
        <v>2018</v>
      </c>
    </row>
    <row r="2470" spans="1:6" ht="15.75">
      <c r="A2470" s="22" t="s">
        <v>1441</v>
      </c>
      <c r="B2470" s="26">
        <v>43051</v>
      </c>
      <c r="C2470" s="27">
        <v>0</v>
      </c>
      <c r="D2470" s="25" t="str">
        <f t="shared" si="76"/>
        <v>201745</v>
      </c>
      <c r="E2470" s="22" t="str">
        <f t="shared" ca="1" si="77"/>
        <v>201711</v>
      </c>
      <c r="F2470" s="22">
        <v>2018</v>
      </c>
    </row>
    <row r="2471" spans="1:6" ht="15.75">
      <c r="A2471" s="22" t="s">
        <v>1441</v>
      </c>
      <c r="B2471" s="26">
        <v>43052</v>
      </c>
      <c r="C2471" s="27">
        <v>0</v>
      </c>
      <c r="D2471" s="25" t="str">
        <f t="shared" si="76"/>
        <v>201746</v>
      </c>
      <c r="E2471" s="22" t="str">
        <f t="shared" ca="1" si="77"/>
        <v>201711</v>
      </c>
      <c r="F2471" s="22">
        <v>2018</v>
      </c>
    </row>
    <row r="2472" spans="1:6" ht="15.75">
      <c r="A2472" s="22" t="s">
        <v>1441</v>
      </c>
      <c r="B2472" s="26">
        <v>43053</v>
      </c>
      <c r="C2472" s="27">
        <v>0</v>
      </c>
      <c r="D2472" s="25" t="str">
        <f t="shared" si="76"/>
        <v>201746</v>
      </c>
      <c r="E2472" s="22" t="str">
        <f t="shared" ca="1" si="77"/>
        <v>201711</v>
      </c>
      <c r="F2472" s="22">
        <v>2018</v>
      </c>
    </row>
    <row r="2473" spans="1:6" ht="15.75">
      <c r="A2473" s="22" t="s">
        <v>1441</v>
      </c>
      <c r="B2473" s="26">
        <v>43054</v>
      </c>
      <c r="C2473" s="27">
        <v>0</v>
      </c>
      <c r="D2473" s="25" t="str">
        <f t="shared" si="76"/>
        <v>201746</v>
      </c>
      <c r="E2473" s="22" t="str">
        <f t="shared" ca="1" si="77"/>
        <v>201711</v>
      </c>
      <c r="F2473" s="22">
        <v>2018</v>
      </c>
    </row>
    <row r="2474" spans="1:6" ht="15.75">
      <c r="A2474" s="22" t="s">
        <v>1441</v>
      </c>
      <c r="B2474" s="26">
        <v>43055</v>
      </c>
      <c r="C2474" s="27">
        <v>0</v>
      </c>
      <c r="D2474" s="25" t="str">
        <f t="shared" si="76"/>
        <v>201746</v>
      </c>
      <c r="E2474" s="22" t="str">
        <f t="shared" ca="1" si="77"/>
        <v>201711</v>
      </c>
      <c r="F2474" s="22">
        <v>2018</v>
      </c>
    </row>
    <row r="2475" spans="1:6" ht="15.75">
      <c r="A2475" s="22" t="s">
        <v>1441</v>
      </c>
      <c r="B2475" s="26">
        <v>43056</v>
      </c>
      <c r="C2475" s="27">
        <v>0</v>
      </c>
      <c r="D2475" s="25" t="str">
        <f t="shared" si="76"/>
        <v>201746</v>
      </c>
      <c r="E2475" s="22" t="str">
        <f t="shared" ca="1" si="77"/>
        <v>201711</v>
      </c>
      <c r="F2475" s="22">
        <v>2018</v>
      </c>
    </row>
    <row r="2476" spans="1:6" ht="15.75">
      <c r="A2476" s="22" t="s">
        <v>1441</v>
      </c>
      <c r="B2476" s="26">
        <v>43057</v>
      </c>
      <c r="C2476" s="27">
        <v>0</v>
      </c>
      <c r="D2476" s="25" t="str">
        <f t="shared" si="76"/>
        <v>201746</v>
      </c>
      <c r="E2476" s="22" t="str">
        <f t="shared" ca="1" si="77"/>
        <v>201711</v>
      </c>
      <c r="F2476" s="22">
        <v>2018</v>
      </c>
    </row>
    <row r="2477" spans="1:6" ht="15.75">
      <c r="A2477" s="22" t="s">
        <v>1441</v>
      </c>
      <c r="B2477" s="26">
        <v>43058</v>
      </c>
      <c r="C2477" s="27">
        <v>0</v>
      </c>
      <c r="D2477" s="25" t="str">
        <f t="shared" si="76"/>
        <v>201746</v>
      </c>
      <c r="E2477" s="22" t="str">
        <f t="shared" ca="1" si="77"/>
        <v>201711</v>
      </c>
      <c r="F2477" s="22">
        <v>2018</v>
      </c>
    </row>
    <row r="2478" spans="1:6" ht="15.75">
      <c r="A2478" s="22" t="s">
        <v>1441</v>
      </c>
      <c r="B2478" s="26">
        <v>43059</v>
      </c>
      <c r="C2478" s="27">
        <v>0</v>
      </c>
      <c r="D2478" s="25" t="str">
        <f t="shared" si="76"/>
        <v>201747</v>
      </c>
      <c r="E2478" s="22" t="str">
        <f t="shared" ca="1" si="77"/>
        <v>201711</v>
      </c>
      <c r="F2478" s="22">
        <v>2018</v>
      </c>
    </row>
    <row r="2479" spans="1:6" ht="15.75">
      <c r="A2479" s="22" t="s">
        <v>1441</v>
      </c>
      <c r="B2479" s="26">
        <v>43060</v>
      </c>
      <c r="C2479" s="27">
        <v>0</v>
      </c>
      <c r="D2479" s="25" t="str">
        <f t="shared" si="76"/>
        <v>201747</v>
      </c>
      <c r="E2479" s="22" t="str">
        <f t="shared" ca="1" si="77"/>
        <v>201711</v>
      </c>
      <c r="F2479" s="22">
        <v>2018</v>
      </c>
    </row>
    <row r="2480" spans="1:6" ht="15.75">
      <c r="A2480" s="22" t="s">
        <v>1441</v>
      </c>
      <c r="B2480" s="26">
        <v>43061</v>
      </c>
      <c r="C2480" s="27">
        <v>0</v>
      </c>
      <c r="D2480" s="25" t="str">
        <f t="shared" si="76"/>
        <v>201747</v>
      </c>
      <c r="E2480" s="22" t="str">
        <f t="shared" ca="1" si="77"/>
        <v>201711</v>
      </c>
      <c r="F2480" s="22">
        <v>2018</v>
      </c>
    </row>
    <row r="2481" spans="1:6" ht="15.75">
      <c r="A2481" s="22" t="s">
        <v>1441</v>
      </c>
      <c r="B2481" s="26">
        <v>43062</v>
      </c>
      <c r="C2481" s="27">
        <v>0</v>
      </c>
      <c r="D2481" s="25" t="str">
        <f t="shared" si="76"/>
        <v>201747</v>
      </c>
      <c r="E2481" s="22" t="str">
        <f t="shared" ca="1" si="77"/>
        <v>201711</v>
      </c>
      <c r="F2481" s="22">
        <v>2018</v>
      </c>
    </row>
    <row r="2482" spans="1:6" ht="15.75">
      <c r="A2482" s="22" t="s">
        <v>1441</v>
      </c>
      <c r="B2482" s="26">
        <v>43063</v>
      </c>
      <c r="C2482" s="27">
        <v>0</v>
      </c>
      <c r="D2482" s="25" t="str">
        <f t="shared" si="76"/>
        <v>201747</v>
      </c>
      <c r="E2482" s="22" t="str">
        <f t="shared" ca="1" si="77"/>
        <v>201711</v>
      </c>
      <c r="F2482" s="22">
        <v>2018</v>
      </c>
    </row>
    <row r="2483" spans="1:6" ht="15.75">
      <c r="A2483" s="22" t="s">
        <v>1441</v>
      </c>
      <c r="B2483" s="26">
        <v>43064</v>
      </c>
      <c r="C2483" s="27">
        <v>0</v>
      </c>
      <c r="D2483" s="25" t="str">
        <f t="shared" si="76"/>
        <v>201747</v>
      </c>
      <c r="E2483" s="22" t="str">
        <f t="shared" ca="1" si="77"/>
        <v>201711</v>
      </c>
      <c r="F2483" s="22">
        <v>2018</v>
      </c>
    </row>
    <row r="2484" spans="1:6" ht="15.75">
      <c r="A2484" s="22" t="s">
        <v>1441</v>
      </c>
      <c r="B2484" s="26">
        <v>43065</v>
      </c>
      <c r="C2484" s="27">
        <v>0</v>
      </c>
      <c r="D2484" s="25" t="str">
        <f t="shared" si="76"/>
        <v>201747</v>
      </c>
      <c r="E2484" s="22" t="str">
        <f t="shared" ca="1" si="77"/>
        <v>201711</v>
      </c>
      <c r="F2484" s="22">
        <v>2018</v>
      </c>
    </row>
    <row r="2485" spans="1:6" ht="15.75">
      <c r="A2485" s="22" t="s">
        <v>1441</v>
      </c>
      <c r="B2485" s="26">
        <v>43066</v>
      </c>
      <c r="C2485" s="27">
        <v>0</v>
      </c>
      <c r="D2485" s="25" t="str">
        <f t="shared" si="76"/>
        <v>201748</v>
      </c>
      <c r="E2485" s="22" t="str">
        <f t="shared" ca="1" si="77"/>
        <v>201711</v>
      </c>
      <c r="F2485" s="22">
        <v>2018</v>
      </c>
    </row>
    <row r="2486" spans="1:6" ht="15.75">
      <c r="A2486" s="22" t="s">
        <v>1441</v>
      </c>
      <c r="B2486" s="26">
        <v>43067</v>
      </c>
      <c r="C2486" s="27">
        <v>0</v>
      </c>
      <c r="D2486" s="25" t="str">
        <f t="shared" si="76"/>
        <v>201748</v>
      </c>
      <c r="E2486" s="22" t="str">
        <f t="shared" ca="1" si="77"/>
        <v>201711</v>
      </c>
      <c r="F2486" s="22">
        <v>2018</v>
      </c>
    </row>
    <row r="2487" spans="1:6" ht="15.75">
      <c r="A2487" s="22" t="s">
        <v>1441</v>
      </c>
      <c r="B2487" s="26">
        <v>43068</v>
      </c>
      <c r="C2487" s="27">
        <v>0</v>
      </c>
      <c r="D2487" s="25" t="str">
        <f t="shared" si="76"/>
        <v>201748</v>
      </c>
      <c r="E2487" s="22" t="str">
        <f t="shared" ca="1" si="77"/>
        <v>201711</v>
      </c>
      <c r="F2487" s="22">
        <v>2018</v>
      </c>
    </row>
    <row r="2488" spans="1:6" ht="15.75">
      <c r="A2488" s="22" t="s">
        <v>1441</v>
      </c>
      <c r="B2488" s="26">
        <v>43069</v>
      </c>
      <c r="C2488" s="27">
        <v>0</v>
      </c>
      <c r="D2488" s="25" t="str">
        <f t="shared" si="76"/>
        <v>201748</v>
      </c>
      <c r="E2488" s="22" t="str">
        <f t="shared" ca="1" si="77"/>
        <v>201711</v>
      </c>
      <c r="F2488" s="22">
        <v>2018</v>
      </c>
    </row>
    <row r="2489" spans="1:6" ht="15.75">
      <c r="A2489" s="22" t="s">
        <v>1441</v>
      </c>
      <c r="B2489" s="26">
        <v>43070</v>
      </c>
      <c r="C2489" s="27">
        <v>0</v>
      </c>
      <c r="D2489" s="25" t="str">
        <f t="shared" si="76"/>
        <v>201748</v>
      </c>
      <c r="E2489" s="22" t="str">
        <f t="shared" ca="1" si="77"/>
        <v>201712</v>
      </c>
      <c r="F2489" s="22">
        <v>2018</v>
      </c>
    </row>
    <row r="2490" spans="1:6" ht="15.75">
      <c r="A2490" s="22" t="s">
        <v>1441</v>
      </c>
      <c r="B2490" s="26">
        <v>43071</v>
      </c>
      <c r="C2490" s="27">
        <v>0</v>
      </c>
      <c r="D2490" s="25" t="str">
        <f t="shared" si="76"/>
        <v>201748</v>
      </c>
      <c r="E2490" s="22" t="str">
        <f t="shared" ca="1" si="77"/>
        <v>201712</v>
      </c>
      <c r="F2490" s="22">
        <v>2018</v>
      </c>
    </row>
    <row r="2491" spans="1:6" ht="15.75">
      <c r="A2491" s="22" t="s">
        <v>1441</v>
      </c>
      <c r="B2491" s="26">
        <v>43072</v>
      </c>
      <c r="C2491" s="27">
        <v>0</v>
      </c>
      <c r="D2491" s="25" t="str">
        <f t="shared" si="76"/>
        <v>201748</v>
      </c>
      <c r="E2491" s="22" t="str">
        <f t="shared" ca="1" si="77"/>
        <v>201712</v>
      </c>
      <c r="F2491" s="22">
        <v>2018</v>
      </c>
    </row>
    <row r="2492" spans="1:6" ht="15.75">
      <c r="A2492" s="22" t="s">
        <v>1441</v>
      </c>
      <c r="B2492" s="26">
        <v>43073</v>
      </c>
      <c r="C2492" s="27">
        <v>0</v>
      </c>
      <c r="D2492" s="25" t="str">
        <f t="shared" si="76"/>
        <v>201749</v>
      </c>
      <c r="E2492" s="22" t="str">
        <f t="shared" ca="1" si="77"/>
        <v>201712</v>
      </c>
      <c r="F2492" s="22">
        <v>2018</v>
      </c>
    </row>
    <row r="2493" spans="1:6" ht="15.75">
      <c r="A2493" s="22" t="s">
        <v>1441</v>
      </c>
      <c r="B2493" s="26">
        <v>43074</v>
      </c>
      <c r="C2493" s="27">
        <v>0</v>
      </c>
      <c r="D2493" s="25" t="str">
        <f t="shared" si="76"/>
        <v>201749</v>
      </c>
      <c r="E2493" s="22" t="str">
        <f t="shared" ca="1" si="77"/>
        <v>201712</v>
      </c>
      <c r="F2493" s="22">
        <v>2018</v>
      </c>
    </row>
    <row r="2494" spans="1:6" ht="15.75">
      <c r="A2494" s="22" t="s">
        <v>1441</v>
      </c>
      <c r="B2494" s="26">
        <v>43075</v>
      </c>
      <c r="C2494" s="27">
        <v>0</v>
      </c>
      <c r="D2494" s="25" t="str">
        <f t="shared" si="76"/>
        <v>201749</v>
      </c>
      <c r="E2494" s="22" t="str">
        <f t="shared" ca="1" si="77"/>
        <v>201712</v>
      </c>
      <c r="F2494" s="22">
        <v>2018</v>
      </c>
    </row>
    <row r="2495" spans="1:6" ht="15.75">
      <c r="A2495" s="22" t="s">
        <v>1441</v>
      </c>
      <c r="B2495" s="26">
        <v>43076</v>
      </c>
      <c r="C2495" s="27">
        <v>0</v>
      </c>
      <c r="D2495" s="25" t="str">
        <f t="shared" si="76"/>
        <v>201749</v>
      </c>
      <c r="E2495" s="22" t="str">
        <f t="shared" ca="1" si="77"/>
        <v>201712</v>
      </c>
      <c r="F2495" s="22">
        <v>2018</v>
      </c>
    </row>
    <row r="2496" spans="1:6" ht="15.75">
      <c r="A2496" s="22" t="s">
        <v>1441</v>
      </c>
      <c r="B2496" s="26">
        <v>43077</v>
      </c>
      <c r="C2496" s="27">
        <v>0</v>
      </c>
      <c r="D2496" s="25" t="str">
        <f t="shared" si="76"/>
        <v>201749</v>
      </c>
      <c r="E2496" s="22" t="str">
        <f t="shared" ca="1" si="77"/>
        <v>201712</v>
      </c>
      <c r="F2496" s="22">
        <v>2018</v>
      </c>
    </row>
    <row r="2497" spans="1:6" ht="15.75">
      <c r="A2497" s="22" t="s">
        <v>1441</v>
      </c>
      <c r="B2497" s="26">
        <v>43078</v>
      </c>
      <c r="C2497" s="27">
        <v>0</v>
      </c>
      <c r="D2497" s="25" t="str">
        <f t="shared" si="76"/>
        <v>201749</v>
      </c>
      <c r="E2497" s="22" t="str">
        <f t="shared" ca="1" si="77"/>
        <v>201712</v>
      </c>
      <c r="F2497" s="22">
        <v>2018</v>
      </c>
    </row>
    <row r="2498" spans="1:6" ht="15.75">
      <c r="A2498" s="22" t="s">
        <v>1441</v>
      </c>
      <c r="B2498" s="26">
        <v>43079</v>
      </c>
      <c r="C2498" s="27">
        <v>0</v>
      </c>
      <c r="D2498" s="25" t="str">
        <f t="shared" si="76"/>
        <v>201749</v>
      </c>
      <c r="E2498" s="22" t="str">
        <f t="shared" ca="1" si="77"/>
        <v>201712</v>
      </c>
      <c r="F2498" s="22">
        <v>2018</v>
      </c>
    </row>
    <row r="2499" spans="1:6" ht="15.75">
      <c r="A2499" s="22" t="s">
        <v>1441</v>
      </c>
      <c r="B2499" s="26">
        <v>43080</v>
      </c>
      <c r="C2499" s="27">
        <v>0</v>
      </c>
      <c r="D2499" s="25" t="str">
        <f t="shared" ref="D2499:D2562" si="78">CONCATENATE(YEAR(B2499-WEEKDAY(B2499,3)+3),TEXT(WEEKNUM(B2499,21),"00"))</f>
        <v>201750</v>
      </c>
      <c r="E2499" s="22" t="str">
        <f t="shared" ref="E2499:E2562" ca="1" si="79">IF(
  AND(
    YEAR(B2499)=YEAR(TODAY())-1,
    MONTH(B2499)=MONTH(TODAY()),
    DAY(B2499)&gt;DAY($H$2)
  ),
  0,
  CONCATENATE(YEAR(B2499),TEXT(MONTH(B2499),"00"))
)</f>
        <v>201712</v>
      </c>
      <c r="F2499" s="22">
        <v>2018</v>
      </c>
    </row>
    <row r="2500" spans="1:6" ht="15.75">
      <c r="A2500" s="22" t="s">
        <v>1441</v>
      </c>
      <c r="B2500" s="26">
        <v>43081</v>
      </c>
      <c r="C2500" s="27">
        <v>0</v>
      </c>
      <c r="D2500" s="25" t="str">
        <f t="shared" si="78"/>
        <v>201750</v>
      </c>
      <c r="E2500" s="22" t="str">
        <f t="shared" ca="1" si="79"/>
        <v>201712</v>
      </c>
      <c r="F2500" s="22">
        <v>2018</v>
      </c>
    </row>
    <row r="2501" spans="1:6" ht="15.75">
      <c r="A2501" s="22" t="s">
        <v>1441</v>
      </c>
      <c r="B2501" s="26">
        <v>43082</v>
      </c>
      <c r="C2501" s="27">
        <v>0</v>
      </c>
      <c r="D2501" s="25" t="str">
        <f t="shared" si="78"/>
        <v>201750</v>
      </c>
      <c r="E2501" s="22" t="str">
        <f t="shared" ca="1" si="79"/>
        <v>201712</v>
      </c>
      <c r="F2501" s="22">
        <v>2018</v>
      </c>
    </row>
    <row r="2502" spans="1:6" ht="15.75">
      <c r="A2502" s="22" t="s">
        <v>1441</v>
      </c>
      <c r="B2502" s="26">
        <v>43083</v>
      </c>
      <c r="C2502" s="27">
        <v>0</v>
      </c>
      <c r="D2502" s="25" t="str">
        <f t="shared" si="78"/>
        <v>201750</v>
      </c>
      <c r="E2502" s="22" t="str">
        <f t="shared" ca="1" si="79"/>
        <v>201712</v>
      </c>
      <c r="F2502" s="22">
        <v>2018</v>
      </c>
    </row>
    <row r="2503" spans="1:6" ht="15.75">
      <c r="A2503" s="22" t="s">
        <v>1441</v>
      </c>
      <c r="B2503" s="26">
        <v>43084</v>
      </c>
      <c r="C2503" s="27">
        <v>0</v>
      </c>
      <c r="D2503" s="25" t="str">
        <f t="shared" si="78"/>
        <v>201750</v>
      </c>
      <c r="E2503" s="22" t="str">
        <f t="shared" ca="1" si="79"/>
        <v>201712</v>
      </c>
      <c r="F2503" s="22">
        <v>2018</v>
      </c>
    </row>
    <row r="2504" spans="1:6" ht="15.75">
      <c r="A2504" s="22" t="s">
        <v>1441</v>
      </c>
      <c r="B2504" s="26">
        <v>43085</v>
      </c>
      <c r="C2504" s="27">
        <v>0</v>
      </c>
      <c r="D2504" s="25" t="str">
        <f t="shared" si="78"/>
        <v>201750</v>
      </c>
      <c r="E2504" s="22" t="str">
        <f t="shared" ca="1" si="79"/>
        <v>201712</v>
      </c>
      <c r="F2504" s="22">
        <v>2018</v>
      </c>
    </row>
    <row r="2505" spans="1:6" ht="15.75">
      <c r="A2505" s="22" t="s">
        <v>1441</v>
      </c>
      <c r="B2505" s="26">
        <v>43086</v>
      </c>
      <c r="C2505" s="27">
        <v>0</v>
      </c>
      <c r="D2505" s="25" t="str">
        <f t="shared" si="78"/>
        <v>201750</v>
      </c>
      <c r="E2505" s="22" t="str">
        <f t="shared" ca="1" si="79"/>
        <v>201712</v>
      </c>
      <c r="F2505" s="22">
        <v>2018</v>
      </c>
    </row>
    <row r="2506" spans="1:6" ht="15.75">
      <c r="A2506" s="22" t="s">
        <v>1441</v>
      </c>
      <c r="B2506" s="26">
        <v>43087</v>
      </c>
      <c r="C2506" s="27">
        <v>0</v>
      </c>
      <c r="D2506" s="25" t="str">
        <f t="shared" si="78"/>
        <v>201751</v>
      </c>
      <c r="E2506" s="22" t="str">
        <f t="shared" ca="1" si="79"/>
        <v>201712</v>
      </c>
      <c r="F2506" s="22">
        <v>2018</v>
      </c>
    </row>
    <row r="2507" spans="1:6" ht="15.75">
      <c r="A2507" s="22" t="s">
        <v>1441</v>
      </c>
      <c r="B2507" s="26">
        <v>43088</v>
      </c>
      <c r="C2507" s="27">
        <v>0</v>
      </c>
      <c r="D2507" s="25" t="str">
        <f t="shared" si="78"/>
        <v>201751</v>
      </c>
      <c r="E2507" s="22" t="str">
        <f t="shared" ca="1" si="79"/>
        <v>201712</v>
      </c>
      <c r="F2507" s="22">
        <v>2018</v>
      </c>
    </row>
    <row r="2508" spans="1:6" ht="15.75">
      <c r="A2508" s="22" t="s">
        <v>1441</v>
      </c>
      <c r="B2508" s="26">
        <v>43089</v>
      </c>
      <c r="C2508" s="27">
        <v>0</v>
      </c>
      <c r="D2508" s="25" t="str">
        <f t="shared" si="78"/>
        <v>201751</v>
      </c>
      <c r="E2508" s="22" t="str">
        <f t="shared" ca="1" si="79"/>
        <v>201712</v>
      </c>
      <c r="F2508" s="22">
        <v>2018</v>
      </c>
    </row>
    <row r="2509" spans="1:6" ht="15.75">
      <c r="A2509" s="22" t="s">
        <v>1441</v>
      </c>
      <c r="B2509" s="26">
        <v>43090</v>
      </c>
      <c r="C2509" s="27">
        <v>0</v>
      </c>
      <c r="D2509" s="25" t="str">
        <f t="shared" si="78"/>
        <v>201751</v>
      </c>
      <c r="E2509" s="22" t="str">
        <f t="shared" ca="1" si="79"/>
        <v>201712</v>
      </c>
      <c r="F2509" s="22">
        <v>2018</v>
      </c>
    </row>
    <row r="2510" spans="1:6" ht="15.75">
      <c r="A2510" s="22" t="s">
        <v>1441</v>
      </c>
      <c r="B2510" s="26">
        <v>43091</v>
      </c>
      <c r="C2510" s="27">
        <v>0</v>
      </c>
      <c r="D2510" s="25" t="str">
        <f t="shared" si="78"/>
        <v>201751</v>
      </c>
      <c r="E2510" s="22" t="str">
        <f t="shared" ca="1" si="79"/>
        <v>201712</v>
      </c>
      <c r="F2510" s="22">
        <v>2018</v>
      </c>
    </row>
    <row r="2511" spans="1:6" ht="15.75">
      <c r="A2511" s="22" t="s">
        <v>1441</v>
      </c>
      <c r="B2511" s="26">
        <v>43092</v>
      </c>
      <c r="C2511" s="27">
        <v>0</v>
      </c>
      <c r="D2511" s="25" t="str">
        <f t="shared" si="78"/>
        <v>201751</v>
      </c>
      <c r="E2511" s="22" t="str">
        <f t="shared" ca="1" si="79"/>
        <v>201712</v>
      </c>
      <c r="F2511" s="22">
        <v>2018</v>
      </c>
    </row>
    <row r="2512" spans="1:6" ht="15.75">
      <c r="A2512" s="22" t="s">
        <v>1441</v>
      </c>
      <c r="B2512" s="26">
        <v>43093</v>
      </c>
      <c r="C2512" s="27">
        <v>0</v>
      </c>
      <c r="D2512" s="25" t="str">
        <f t="shared" si="78"/>
        <v>201751</v>
      </c>
      <c r="E2512" s="22" t="str">
        <f t="shared" ca="1" si="79"/>
        <v>201712</v>
      </c>
      <c r="F2512" s="22">
        <v>2018</v>
      </c>
    </row>
    <row r="2513" spans="1:6" ht="15.75">
      <c r="A2513" s="22" t="s">
        <v>1441</v>
      </c>
      <c r="B2513" s="26">
        <v>43094</v>
      </c>
      <c r="C2513" s="27">
        <v>0</v>
      </c>
      <c r="D2513" s="25" t="str">
        <f t="shared" si="78"/>
        <v>201752</v>
      </c>
      <c r="E2513" s="22" t="str">
        <f t="shared" ca="1" si="79"/>
        <v>201712</v>
      </c>
      <c r="F2513" s="22">
        <v>2018</v>
      </c>
    </row>
    <row r="2514" spans="1:6" ht="15.75">
      <c r="A2514" s="22" t="s">
        <v>1441</v>
      </c>
      <c r="B2514" s="26">
        <v>43095</v>
      </c>
      <c r="C2514" s="27">
        <v>0</v>
      </c>
      <c r="D2514" s="25" t="str">
        <f t="shared" si="78"/>
        <v>201752</v>
      </c>
      <c r="E2514" s="22" t="str">
        <f t="shared" ca="1" si="79"/>
        <v>201712</v>
      </c>
      <c r="F2514" s="22">
        <v>2018</v>
      </c>
    </row>
    <row r="2515" spans="1:6" ht="15.75">
      <c r="A2515" s="22" t="s">
        <v>1441</v>
      </c>
      <c r="B2515" s="26">
        <v>43096</v>
      </c>
      <c r="C2515" s="27">
        <v>0</v>
      </c>
      <c r="D2515" s="25" t="str">
        <f t="shared" si="78"/>
        <v>201752</v>
      </c>
      <c r="E2515" s="22" t="str">
        <f t="shared" ca="1" si="79"/>
        <v>201712</v>
      </c>
      <c r="F2515" s="22">
        <v>2018</v>
      </c>
    </row>
    <row r="2516" spans="1:6" ht="15.75">
      <c r="A2516" s="22" t="s">
        <v>1441</v>
      </c>
      <c r="B2516" s="26">
        <v>43097</v>
      </c>
      <c r="C2516" s="27">
        <v>0</v>
      </c>
      <c r="D2516" s="25" t="str">
        <f t="shared" si="78"/>
        <v>201752</v>
      </c>
      <c r="E2516" s="22" t="str">
        <f t="shared" ca="1" si="79"/>
        <v>201712</v>
      </c>
      <c r="F2516" s="22">
        <v>2018</v>
      </c>
    </row>
    <row r="2517" spans="1:6" ht="15.75">
      <c r="A2517" s="22" t="s">
        <v>1441</v>
      </c>
      <c r="B2517" s="26">
        <v>43098</v>
      </c>
      <c r="C2517" s="27">
        <v>0</v>
      </c>
      <c r="D2517" s="25" t="str">
        <f t="shared" si="78"/>
        <v>201752</v>
      </c>
      <c r="E2517" s="22" t="str">
        <f t="shared" ca="1" si="79"/>
        <v>201712</v>
      </c>
      <c r="F2517" s="22">
        <v>2018</v>
      </c>
    </row>
    <row r="2518" spans="1:6" ht="15.75">
      <c r="A2518" s="22" t="s">
        <v>1441</v>
      </c>
      <c r="B2518" s="26">
        <v>43099</v>
      </c>
      <c r="C2518" s="27">
        <v>0</v>
      </c>
      <c r="D2518" s="25" t="str">
        <f t="shared" si="78"/>
        <v>201752</v>
      </c>
      <c r="E2518" s="22" t="str">
        <f t="shared" ca="1" si="79"/>
        <v>201712</v>
      </c>
      <c r="F2518" s="22">
        <v>2018</v>
      </c>
    </row>
    <row r="2519" spans="1:6" ht="15.75">
      <c r="A2519" s="22" t="s">
        <v>1441</v>
      </c>
      <c r="B2519" s="26">
        <v>43100</v>
      </c>
      <c r="C2519" s="27">
        <v>0</v>
      </c>
      <c r="D2519" s="25" t="str">
        <f t="shared" si="78"/>
        <v>201752</v>
      </c>
      <c r="E2519" s="22" t="str">
        <f t="shared" ca="1" si="79"/>
        <v>201712</v>
      </c>
      <c r="F2519" s="22">
        <v>2018</v>
      </c>
    </row>
    <row r="2520" spans="1:6" ht="15.75">
      <c r="A2520" s="22" t="s">
        <v>1441</v>
      </c>
      <c r="B2520" s="26">
        <v>43101</v>
      </c>
      <c r="C2520" s="27">
        <v>0</v>
      </c>
      <c r="D2520" s="25" t="str">
        <f t="shared" si="78"/>
        <v>201801</v>
      </c>
      <c r="E2520" s="22" t="str">
        <f t="shared" ca="1" si="79"/>
        <v>201801</v>
      </c>
      <c r="F2520" s="22">
        <v>2018</v>
      </c>
    </row>
    <row r="2521" spans="1:6" ht="15.75">
      <c r="A2521" s="22" t="s">
        <v>1441</v>
      </c>
      <c r="B2521" s="26">
        <v>43102</v>
      </c>
      <c r="C2521" s="27">
        <v>0</v>
      </c>
      <c r="D2521" s="25" t="str">
        <f t="shared" si="78"/>
        <v>201801</v>
      </c>
      <c r="E2521" s="22" t="str">
        <f t="shared" ca="1" si="79"/>
        <v>201801</v>
      </c>
      <c r="F2521" s="22">
        <v>2018</v>
      </c>
    </row>
    <row r="2522" spans="1:6" ht="15.75">
      <c r="A2522" s="22" t="s">
        <v>1441</v>
      </c>
      <c r="B2522" s="26">
        <v>43103</v>
      </c>
      <c r="C2522" s="27">
        <v>0</v>
      </c>
      <c r="D2522" s="25" t="str">
        <f t="shared" si="78"/>
        <v>201801</v>
      </c>
      <c r="E2522" s="22" t="str">
        <f t="shared" ca="1" si="79"/>
        <v>201801</v>
      </c>
      <c r="F2522" s="22">
        <v>2018</v>
      </c>
    </row>
    <row r="2523" spans="1:6" ht="15.75">
      <c r="A2523" s="22" t="s">
        <v>1441</v>
      </c>
      <c r="B2523" s="26">
        <v>43104</v>
      </c>
      <c r="C2523" s="27">
        <v>0</v>
      </c>
      <c r="D2523" s="25" t="str">
        <f t="shared" si="78"/>
        <v>201801</v>
      </c>
      <c r="E2523" s="22" t="str">
        <f t="shared" ca="1" si="79"/>
        <v>201801</v>
      </c>
      <c r="F2523" s="22">
        <v>2018</v>
      </c>
    </row>
    <row r="2524" spans="1:6" ht="15.75">
      <c r="A2524" s="22" t="s">
        <v>1441</v>
      </c>
      <c r="B2524" s="26">
        <v>43105</v>
      </c>
      <c r="C2524" s="27">
        <v>0</v>
      </c>
      <c r="D2524" s="25" t="str">
        <f t="shared" si="78"/>
        <v>201801</v>
      </c>
      <c r="E2524" s="22" t="str">
        <f t="shared" ca="1" si="79"/>
        <v>201801</v>
      </c>
      <c r="F2524" s="22">
        <v>2018</v>
      </c>
    </row>
    <row r="2525" spans="1:6" ht="15.75">
      <c r="A2525" s="22" t="s">
        <v>1441</v>
      </c>
      <c r="B2525" s="26">
        <v>43106</v>
      </c>
      <c r="C2525" s="27">
        <v>0</v>
      </c>
      <c r="D2525" s="25" t="str">
        <f t="shared" si="78"/>
        <v>201801</v>
      </c>
      <c r="E2525" s="22" t="str">
        <f t="shared" ca="1" si="79"/>
        <v>201801</v>
      </c>
      <c r="F2525" s="22">
        <v>2018</v>
      </c>
    </row>
    <row r="2526" spans="1:6" ht="15.75">
      <c r="A2526" s="22" t="s">
        <v>1441</v>
      </c>
      <c r="B2526" s="26">
        <v>43107</v>
      </c>
      <c r="C2526" s="27">
        <v>0</v>
      </c>
      <c r="D2526" s="25" t="str">
        <f t="shared" si="78"/>
        <v>201801</v>
      </c>
      <c r="E2526" s="22" t="str">
        <f t="shared" ca="1" si="79"/>
        <v>201801</v>
      </c>
      <c r="F2526" s="22">
        <v>2018</v>
      </c>
    </row>
    <row r="2527" spans="1:6" ht="15.75">
      <c r="A2527" s="22" t="s">
        <v>1441</v>
      </c>
      <c r="B2527" s="26">
        <v>43108</v>
      </c>
      <c r="C2527" s="27">
        <v>0</v>
      </c>
      <c r="D2527" s="25" t="str">
        <f t="shared" si="78"/>
        <v>201802</v>
      </c>
      <c r="E2527" s="22" t="str">
        <f t="shared" ca="1" si="79"/>
        <v>201801</v>
      </c>
      <c r="F2527" s="22">
        <v>2018</v>
      </c>
    </row>
    <row r="2528" spans="1:6" ht="15.75">
      <c r="A2528" s="22" t="s">
        <v>1441</v>
      </c>
      <c r="B2528" s="26">
        <v>43109</v>
      </c>
      <c r="C2528" s="27">
        <v>0</v>
      </c>
      <c r="D2528" s="25" t="str">
        <f t="shared" si="78"/>
        <v>201802</v>
      </c>
      <c r="E2528" s="22" t="str">
        <f t="shared" ca="1" si="79"/>
        <v>201801</v>
      </c>
      <c r="F2528" s="22">
        <v>2018</v>
      </c>
    </row>
    <row r="2529" spans="1:6" ht="15.75">
      <c r="A2529" s="22" t="s">
        <v>1441</v>
      </c>
      <c r="B2529" s="26">
        <v>43110</v>
      </c>
      <c r="C2529" s="27">
        <v>0</v>
      </c>
      <c r="D2529" s="25" t="str">
        <f t="shared" si="78"/>
        <v>201802</v>
      </c>
      <c r="E2529" s="22" t="str">
        <f t="shared" ca="1" si="79"/>
        <v>201801</v>
      </c>
      <c r="F2529" s="22">
        <v>2018</v>
      </c>
    </row>
    <row r="2530" spans="1:6" ht="15.75">
      <c r="A2530" s="22" t="s">
        <v>1441</v>
      </c>
      <c r="B2530" s="26">
        <v>43111</v>
      </c>
      <c r="C2530" s="27">
        <v>0</v>
      </c>
      <c r="D2530" s="25" t="str">
        <f t="shared" si="78"/>
        <v>201802</v>
      </c>
      <c r="E2530" s="22" t="str">
        <f t="shared" ca="1" si="79"/>
        <v>201801</v>
      </c>
      <c r="F2530" s="22">
        <v>2018</v>
      </c>
    </row>
    <row r="2531" spans="1:6" ht="15.75">
      <c r="A2531" s="22" t="s">
        <v>1441</v>
      </c>
      <c r="B2531" s="26">
        <v>43112</v>
      </c>
      <c r="C2531" s="27">
        <v>0</v>
      </c>
      <c r="D2531" s="25" t="str">
        <f t="shared" si="78"/>
        <v>201802</v>
      </c>
      <c r="E2531" s="22" t="str">
        <f t="shared" ca="1" si="79"/>
        <v>201801</v>
      </c>
      <c r="F2531" s="22">
        <v>2018</v>
      </c>
    </row>
    <row r="2532" spans="1:6" ht="15.75">
      <c r="A2532" s="22" t="s">
        <v>1441</v>
      </c>
      <c r="B2532" s="26">
        <v>43113</v>
      </c>
      <c r="C2532" s="27">
        <v>0</v>
      </c>
      <c r="D2532" s="25" t="str">
        <f t="shared" si="78"/>
        <v>201802</v>
      </c>
      <c r="E2532" s="22" t="str">
        <f t="shared" ca="1" si="79"/>
        <v>201801</v>
      </c>
      <c r="F2532" s="22">
        <v>2018</v>
      </c>
    </row>
    <row r="2533" spans="1:6" ht="15.75">
      <c r="A2533" s="22" t="s">
        <v>1441</v>
      </c>
      <c r="B2533" s="26">
        <v>43114</v>
      </c>
      <c r="C2533" s="27">
        <v>0</v>
      </c>
      <c r="D2533" s="25" t="str">
        <f t="shared" si="78"/>
        <v>201802</v>
      </c>
      <c r="E2533" s="22" t="str">
        <f t="shared" ca="1" si="79"/>
        <v>201801</v>
      </c>
      <c r="F2533" s="22">
        <v>2018</v>
      </c>
    </row>
    <row r="2534" spans="1:6" ht="15.75">
      <c r="A2534" s="22" t="s">
        <v>1442</v>
      </c>
      <c r="B2534" s="23">
        <v>43115</v>
      </c>
      <c r="C2534" s="24">
        <v>147.53</v>
      </c>
      <c r="D2534" s="25" t="str">
        <f t="shared" si="78"/>
        <v>201803</v>
      </c>
      <c r="E2534" s="22" t="str">
        <f t="shared" ca="1" si="79"/>
        <v>201801</v>
      </c>
      <c r="F2534" s="22">
        <v>2018</v>
      </c>
    </row>
    <row r="2535" spans="1:6" ht="15.75">
      <c r="A2535" s="22" t="s">
        <v>1442</v>
      </c>
      <c r="B2535" s="23">
        <v>43115</v>
      </c>
      <c r="C2535" s="24">
        <v>17.37</v>
      </c>
      <c r="D2535" s="25" t="str">
        <f t="shared" si="78"/>
        <v>201803</v>
      </c>
      <c r="E2535" s="22" t="str">
        <f t="shared" ca="1" si="79"/>
        <v>201801</v>
      </c>
      <c r="F2535" s="22">
        <v>2018</v>
      </c>
    </row>
    <row r="2536" spans="1:6" ht="15.75">
      <c r="A2536" s="22" t="s">
        <v>1441</v>
      </c>
      <c r="B2536" s="26">
        <v>43115</v>
      </c>
      <c r="C2536" s="27">
        <v>0</v>
      </c>
      <c r="D2536" s="25" t="str">
        <f t="shared" si="78"/>
        <v>201803</v>
      </c>
      <c r="E2536" s="22" t="str">
        <f t="shared" ca="1" si="79"/>
        <v>201801</v>
      </c>
      <c r="F2536" s="22">
        <v>2018</v>
      </c>
    </row>
    <row r="2537" spans="1:6" ht="15.75">
      <c r="A2537" s="22" t="s">
        <v>1442</v>
      </c>
      <c r="B2537" s="23">
        <v>43116</v>
      </c>
      <c r="C2537" s="24">
        <v>172.52</v>
      </c>
      <c r="D2537" s="25" t="str">
        <f t="shared" si="78"/>
        <v>201803</v>
      </c>
      <c r="E2537" s="22" t="str">
        <f t="shared" ca="1" si="79"/>
        <v>201801</v>
      </c>
      <c r="F2537" s="22">
        <v>2018</v>
      </c>
    </row>
    <row r="2538" spans="1:6" ht="15.75">
      <c r="A2538" s="22" t="s">
        <v>1442</v>
      </c>
      <c r="B2538" s="23">
        <v>43116</v>
      </c>
      <c r="C2538" s="24">
        <v>1.24</v>
      </c>
      <c r="D2538" s="25" t="str">
        <f t="shared" si="78"/>
        <v>201803</v>
      </c>
      <c r="E2538" s="22" t="str">
        <f t="shared" ca="1" si="79"/>
        <v>201801</v>
      </c>
      <c r="F2538" s="22">
        <v>2018</v>
      </c>
    </row>
    <row r="2539" spans="1:6" ht="15.75">
      <c r="A2539" s="22" t="s">
        <v>1441</v>
      </c>
      <c r="B2539" s="26">
        <v>43116</v>
      </c>
      <c r="C2539" s="27">
        <v>0</v>
      </c>
      <c r="D2539" s="25" t="str">
        <f t="shared" si="78"/>
        <v>201803</v>
      </c>
      <c r="E2539" s="22" t="str">
        <f t="shared" ca="1" si="79"/>
        <v>201801</v>
      </c>
      <c r="F2539" s="22">
        <v>2018</v>
      </c>
    </row>
    <row r="2540" spans="1:6" ht="15.75">
      <c r="A2540" s="22" t="s">
        <v>1442</v>
      </c>
      <c r="B2540" s="23">
        <v>43117</v>
      </c>
      <c r="C2540" s="24">
        <v>245.25</v>
      </c>
      <c r="D2540" s="25" t="str">
        <f t="shared" si="78"/>
        <v>201803</v>
      </c>
      <c r="E2540" s="22" t="str">
        <f t="shared" ca="1" si="79"/>
        <v>201801</v>
      </c>
      <c r="F2540" s="22">
        <v>2018</v>
      </c>
    </row>
    <row r="2541" spans="1:6" ht="15.75">
      <c r="A2541" s="22" t="s">
        <v>1442</v>
      </c>
      <c r="B2541" s="23">
        <v>43117</v>
      </c>
      <c r="C2541" s="24">
        <v>2.0699999999999998</v>
      </c>
      <c r="D2541" s="25" t="str">
        <f t="shared" si="78"/>
        <v>201803</v>
      </c>
      <c r="E2541" s="22" t="str">
        <f t="shared" ca="1" si="79"/>
        <v>201801</v>
      </c>
      <c r="F2541" s="22">
        <v>2018</v>
      </c>
    </row>
    <row r="2542" spans="1:6" ht="15.75">
      <c r="A2542" s="22" t="s">
        <v>1441</v>
      </c>
      <c r="B2542" s="26">
        <v>43117</v>
      </c>
      <c r="C2542" s="27">
        <v>0</v>
      </c>
      <c r="D2542" s="25" t="str">
        <f t="shared" si="78"/>
        <v>201803</v>
      </c>
      <c r="E2542" s="22" t="str">
        <f t="shared" ca="1" si="79"/>
        <v>201801</v>
      </c>
      <c r="F2542" s="22">
        <v>2018</v>
      </c>
    </row>
    <row r="2543" spans="1:6" ht="15.75">
      <c r="A2543" s="22" t="s">
        <v>1442</v>
      </c>
      <c r="B2543" s="23">
        <v>43118</v>
      </c>
      <c r="C2543" s="24">
        <v>332.9</v>
      </c>
      <c r="D2543" s="25" t="str">
        <f t="shared" si="78"/>
        <v>201803</v>
      </c>
      <c r="E2543" s="22" t="str">
        <f t="shared" ca="1" si="79"/>
        <v>201801</v>
      </c>
      <c r="F2543" s="22">
        <v>2018</v>
      </c>
    </row>
    <row r="2544" spans="1:6" ht="15.75">
      <c r="A2544" s="22" t="s">
        <v>1442</v>
      </c>
      <c r="B2544" s="23">
        <v>43118</v>
      </c>
      <c r="C2544" s="24">
        <v>0</v>
      </c>
      <c r="D2544" s="25" t="str">
        <f t="shared" si="78"/>
        <v>201803</v>
      </c>
      <c r="E2544" s="22" t="str">
        <f t="shared" ca="1" si="79"/>
        <v>201801</v>
      </c>
      <c r="F2544" s="22">
        <v>2018</v>
      </c>
    </row>
    <row r="2545" spans="1:6" ht="15.75">
      <c r="A2545" s="22" t="s">
        <v>1441</v>
      </c>
      <c r="B2545" s="26">
        <v>43118</v>
      </c>
      <c r="C2545" s="27">
        <v>0</v>
      </c>
      <c r="D2545" s="25" t="str">
        <f t="shared" si="78"/>
        <v>201803</v>
      </c>
      <c r="E2545" s="22" t="str">
        <f t="shared" ca="1" si="79"/>
        <v>201801</v>
      </c>
      <c r="F2545" s="22">
        <v>2018</v>
      </c>
    </row>
    <row r="2546" spans="1:6" ht="15.75">
      <c r="A2546" s="22" t="s">
        <v>1442</v>
      </c>
      <c r="B2546" s="23">
        <v>43119</v>
      </c>
      <c r="C2546" s="24">
        <v>245.59</v>
      </c>
      <c r="D2546" s="25" t="str">
        <f t="shared" si="78"/>
        <v>201803</v>
      </c>
      <c r="E2546" s="22" t="str">
        <f t="shared" ca="1" si="79"/>
        <v>201801</v>
      </c>
      <c r="F2546" s="22">
        <v>2018</v>
      </c>
    </row>
    <row r="2547" spans="1:6" ht="15.75">
      <c r="A2547" s="22" t="s">
        <v>1442</v>
      </c>
      <c r="B2547" s="23">
        <v>43119</v>
      </c>
      <c r="C2547" s="24">
        <v>0.28000000000000003</v>
      </c>
      <c r="D2547" s="25" t="str">
        <f t="shared" si="78"/>
        <v>201803</v>
      </c>
      <c r="E2547" s="22" t="str">
        <f t="shared" ca="1" si="79"/>
        <v>201801</v>
      </c>
      <c r="F2547" s="22">
        <v>2018</v>
      </c>
    </row>
    <row r="2548" spans="1:6" ht="15.75">
      <c r="A2548" s="22" t="s">
        <v>1441</v>
      </c>
      <c r="B2548" s="26">
        <v>43119</v>
      </c>
      <c r="C2548" s="27">
        <v>0</v>
      </c>
      <c r="D2548" s="25" t="str">
        <f t="shared" si="78"/>
        <v>201803</v>
      </c>
      <c r="E2548" s="22" t="str">
        <f t="shared" ca="1" si="79"/>
        <v>201801</v>
      </c>
      <c r="F2548" s="22">
        <v>2018</v>
      </c>
    </row>
    <row r="2549" spans="1:6" ht="15.75">
      <c r="A2549" s="22" t="s">
        <v>1442</v>
      </c>
      <c r="B2549" s="23">
        <v>43120</v>
      </c>
      <c r="C2549" s="24">
        <v>434.85</v>
      </c>
      <c r="D2549" s="25" t="str">
        <f t="shared" si="78"/>
        <v>201803</v>
      </c>
      <c r="E2549" s="22" t="str">
        <f t="shared" ca="1" si="79"/>
        <v>201801</v>
      </c>
      <c r="F2549" s="22">
        <v>2018</v>
      </c>
    </row>
    <row r="2550" spans="1:6" ht="15.75">
      <c r="A2550" s="22" t="s">
        <v>1442</v>
      </c>
      <c r="B2550" s="23">
        <v>43120</v>
      </c>
      <c r="C2550" s="24">
        <v>1.25</v>
      </c>
      <c r="D2550" s="25" t="str">
        <f t="shared" si="78"/>
        <v>201803</v>
      </c>
      <c r="E2550" s="22" t="str">
        <f t="shared" ca="1" si="79"/>
        <v>201801</v>
      </c>
      <c r="F2550" s="22">
        <v>2018</v>
      </c>
    </row>
    <row r="2551" spans="1:6" ht="15.75">
      <c r="A2551" s="22" t="s">
        <v>1441</v>
      </c>
      <c r="B2551" s="26">
        <v>43120</v>
      </c>
      <c r="C2551" s="27">
        <v>0</v>
      </c>
      <c r="D2551" s="25" t="str">
        <f t="shared" si="78"/>
        <v>201803</v>
      </c>
      <c r="E2551" s="22" t="str">
        <f t="shared" ca="1" si="79"/>
        <v>201801</v>
      </c>
      <c r="F2551" s="22">
        <v>2018</v>
      </c>
    </row>
    <row r="2552" spans="1:6" ht="15.75">
      <c r="A2552" s="22" t="s">
        <v>1442</v>
      </c>
      <c r="B2552" s="23">
        <v>43121</v>
      </c>
      <c r="C2552" s="24">
        <v>517.15</v>
      </c>
      <c r="D2552" s="25" t="str">
        <f t="shared" si="78"/>
        <v>201803</v>
      </c>
      <c r="E2552" s="22" t="str">
        <f t="shared" ca="1" si="79"/>
        <v>201801</v>
      </c>
      <c r="F2552" s="22">
        <v>2018</v>
      </c>
    </row>
    <row r="2553" spans="1:6" ht="15.75">
      <c r="A2553" s="22" t="s">
        <v>1442</v>
      </c>
      <c r="B2553" s="23">
        <v>43121</v>
      </c>
      <c r="C2553" s="24">
        <v>0.37</v>
      </c>
      <c r="D2553" s="25" t="str">
        <f t="shared" si="78"/>
        <v>201803</v>
      </c>
      <c r="E2553" s="22" t="str">
        <f t="shared" ca="1" si="79"/>
        <v>201801</v>
      </c>
      <c r="F2553" s="22">
        <v>2018</v>
      </c>
    </row>
    <row r="2554" spans="1:6" ht="15.75">
      <c r="A2554" s="22" t="s">
        <v>1441</v>
      </c>
      <c r="B2554" s="26">
        <v>43121</v>
      </c>
      <c r="C2554" s="27">
        <v>0</v>
      </c>
      <c r="D2554" s="25" t="str">
        <f t="shared" si="78"/>
        <v>201803</v>
      </c>
      <c r="E2554" s="22" t="str">
        <f t="shared" ca="1" si="79"/>
        <v>201801</v>
      </c>
      <c r="F2554" s="22">
        <v>2018</v>
      </c>
    </row>
    <row r="2555" spans="1:6" ht="15.75">
      <c r="A2555" s="22" t="s">
        <v>1442</v>
      </c>
      <c r="B2555" s="23">
        <v>43122</v>
      </c>
      <c r="C2555" s="24">
        <v>317.87</v>
      </c>
      <c r="D2555" s="25" t="str">
        <f t="shared" si="78"/>
        <v>201804</v>
      </c>
      <c r="E2555" s="22" t="str">
        <f t="shared" ca="1" si="79"/>
        <v>201801</v>
      </c>
      <c r="F2555" s="22">
        <v>2018</v>
      </c>
    </row>
    <row r="2556" spans="1:6" ht="15.75">
      <c r="A2556" s="22" t="s">
        <v>1442</v>
      </c>
      <c r="B2556" s="23">
        <v>43122</v>
      </c>
      <c r="C2556" s="24">
        <v>0</v>
      </c>
      <c r="D2556" s="25" t="str">
        <f t="shared" si="78"/>
        <v>201804</v>
      </c>
      <c r="E2556" s="22" t="str">
        <f t="shared" ca="1" si="79"/>
        <v>201801</v>
      </c>
      <c r="F2556" s="22">
        <v>2018</v>
      </c>
    </row>
    <row r="2557" spans="1:6" ht="15.75">
      <c r="A2557" s="22" t="s">
        <v>1441</v>
      </c>
      <c r="B2557" s="26">
        <v>43122</v>
      </c>
      <c r="C2557" s="27">
        <v>0</v>
      </c>
      <c r="D2557" s="25" t="str">
        <f t="shared" si="78"/>
        <v>201804</v>
      </c>
      <c r="E2557" s="22" t="str">
        <f t="shared" ca="1" si="79"/>
        <v>201801</v>
      </c>
      <c r="F2557" s="22">
        <v>2018</v>
      </c>
    </row>
    <row r="2558" spans="1:6" ht="15.75">
      <c r="A2558" s="22" t="s">
        <v>1442</v>
      </c>
      <c r="B2558" s="23">
        <v>43123</v>
      </c>
      <c r="C2558" s="24">
        <v>122.85</v>
      </c>
      <c r="D2558" s="25" t="str">
        <f t="shared" si="78"/>
        <v>201804</v>
      </c>
      <c r="E2558" s="22" t="str">
        <f t="shared" ca="1" si="79"/>
        <v>201801</v>
      </c>
      <c r="F2558" s="22">
        <v>2018</v>
      </c>
    </row>
    <row r="2559" spans="1:6" ht="15.75">
      <c r="A2559" s="22" t="s">
        <v>1442</v>
      </c>
      <c r="B2559" s="23">
        <v>43123</v>
      </c>
      <c r="C2559" s="24">
        <v>0</v>
      </c>
      <c r="D2559" s="25" t="str">
        <f t="shared" si="78"/>
        <v>201804</v>
      </c>
      <c r="E2559" s="22" t="str">
        <f t="shared" ca="1" si="79"/>
        <v>201801</v>
      </c>
      <c r="F2559" s="22">
        <v>2018</v>
      </c>
    </row>
    <row r="2560" spans="1:6" ht="15.75">
      <c r="A2560" s="22" t="s">
        <v>1441</v>
      </c>
      <c r="B2560" s="26">
        <v>43123</v>
      </c>
      <c r="C2560" s="27">
        <v>0</v>
      </c>
      <c r="D2560" s="25" t="str">
        <f t="shared" si="78"/>
        <v>201804</v>
      </c>
      <c r="E2560" s="22" t="str">
        <f t="shared" ca="1" si="79"/>
        <v>201801</v>
      </c>
      <c r="F2560" s="22">
        <v>2018</v>
      </c>
    </row>
    <row r="2561" spans="1:6" ht="15.75">
      <c r="A2561" s="22" t="s">
        <v>1442</v>
      </c>
      <c r="B2561" s="23">
        <v>43124</v>
      </c>
      <c r="C2561" s="24">
        <v>134.54</v>
      </c>
      <c r="D2561" s="25" t="str">
        <f t="shared" si="78"/>
        <v>201804</v>
      </c>
      <c r="E2561" s="22" t="str">
        <f t="shared" ca="1" si="79"/>
        <v>201801</v>
      </c>
      <c r="F2561" s="22">
        <v>2018</v>
      </c>
    </row>
    <row r="2562" spans="1:6" ht="15.75">
      <c r="A2562" s="22" t="s">
        <v>1442</v>
      </c>
      <c r="B2562" s="23">
        <v>43124</v>
      </c>
      <c r="C2562" s="24">
        <v>0</v>
      </c>
      <c r="D2562" s="25" t="str">
        <f t="shared" si="78"/>
        <v>201804</v>
      </c>
      <c r="E2562" s="22" t="str">
        <f t="shared" ca="1" si="79"/>
        <v>201801</v>
      </c>
      <c r="F2562" s="22">
        <v>2018</v>
      </c>
    </row>
    <row r="2563" spans="1:6" ht="15.75">
      <c r="A2563" s="22" t="s">
        <v>1441</v>
      </c>
      <c r="B2563" s="26">
        <v>43124</v>
      </c>
      <c r="C2563" s="27">
        <v>0</v>
      </c>
      <c r="D2563" s="25" t="str">
        <f t="shared" ref="D2563:D2626" si="80">CONCATENATE(YEAR(B2563-WEEKDAY(B2563,3)+3),TEXT(WEEKNUM(B2563,21),"00"))</f>
        <v>201804</v>
      </c>
      <c r="E2563" s="22" t="str">
        <f t="shared" ref="E2563:E2626" ca="1" si="81">IF(
  AND(
    YEAR(B2563)=YEAR(TODAY())-1,
    MONTH(B2563)=MONTH(TODAY()),
    DAY(B2563)&gt;DAY($H$2)
  ),
  0,
  CONCATENATE(YEAR(B2563),TEXT(MONTH(B2563),"00"))
)</f>
        <v>201801</v>
      </c>
      <c r="F2563" s="22">
        <v>2018</v>
      </c>
    </row>
    <row r="2564" spans="1:6" ht="15.75">
      <c r="A2564" s="22" t="s">
        <v>1442</v>
      </c>
      <c r="B2564" s="23">
        <v>43125</v>
      </c>
      <c r="C2564" s="24">
        <v>135.16</v>
      </c>
      <c r="D2564" s="25" t="str">
        <f t="shared" si="80"/>
        <v>201804</v>
      </c>
      <c r="E2564" s="22" t="str">
        <f t="shared" ca="1" si="81"/>
        <v>201801</v>
      </c>
      <c r="F2564" s="22">
        <v>2018</v>
      </c>
    </row>
    <row r="2565" spans="1:6" ht="15.75">
      <c r="A2565" s="22" t="s">
        <v>1442</v>
      </c>
      <c r="B2565" s="23">
        <v>43125</v>
      </c>
      <c r="C2565" s="24">
        <v>0</v>
      </c>
      <c r="D2565" s="25" t="str">
        <f t="shared" si="80"/>
        <v>201804</v>
      </c>
      <c r="E2565" s="22" t="str">
        <f t="shared" ca="1" si="81"/>
        <v>201801</v>
      </c>
      <c r="F2565" s="22">
        <v>2018</v>
      </c>
    </row>
    <row r="2566" spans="1:6" ht="15.75">
      <c r="A2566" s="22" t="s">
        <v>1441</v>
      </c>
      <c r="B2566" s="26">
        <v>43125</v>
      </c>
      <c r="C2566" s="27">
        <v>0</v>
      </c>
      <c r="D2566" s="25" t="str">
        <f t="shared" si="80"/>
        <v>201804</v>
      </c>
      <c r="E2566" s="22" t="str">
        <f t="shared" ca="1" si="81"/>
        <v>201801</v>
      </c>
      <c r="F2566" s="22">
        <v>2018</v>
      </c>
    </row>
    <row r="2567" spans="1:6" ht="15.75">
      <c r="A2567" s="22" t="s">
        <v>1442</v>
      </c>
      <c r="B2567" s="23">
        <v>43126</v>
      </c>
      <c r="C2567" s="24">
        <v>90.33</v>
      </c>
      <c r="D2567" s="25" t="str">
        <f t="shared" si="80"/>
        <v>201804</v>
      </c>
      <c r="E2567" s="22" t="str">
        <f t="shared" ca="1" si="81"/>
        <v>201801</v>
      </c>
      <c r="F2567" s="22">
        <v>2018</v>
      </c>
    </row>
    <row r="2568" spans="1:6" ht="15.75">
      <c r="A2568" s="22" t="s">
        <v>1442</v>
      </c>
      <c r="B2568" s="23">
        <v>43126</v>
      </c>
      <c r="C2568" s="24">
        <v>0</v>
      </c>
      <c r="D2568" s="25" t="str">
        <f t="shared" si="80"/>
        <v>201804</v>
      </c>
      <c r="E2568" s="22" t="str">
        <f t="shared" ca="1" si="81"/>
        <v>201801</v>
      </c>
      <c r="F2568" s="22">
        <v>2018</v>
      </c>
    </row>
    <row r="2569" spans="1:6" ht="15.75">
      <c r="A2569" s="22" t="s">
        <v>1441</v>
      </c>
      <c r="B2569" s="26">
        <v>43126</v>
      </c>
      <c r="C2569" s="27">
        <v>0</v>
      </c>
      <c r="D2569" s="25" t="str">
        <f t="shared" si="80"/>
        <v>201804</v>
      </c>
      <c r="E2569" s="22" t="str">
        <f t="shared" ca="1" si="81"/>
        <v>201801</v>
      </c>
      <c r="F2569" s="22">
        <v>2018</v>
      </c>
    </row>
    <row r="2570" spans="1:6" ht="15.75">
      <c r="A2570" s="22" t="s">
        <v>1442</v>
      </c>
      <c r="B2570" s="23">
        <v>43127</v>
      </c>
      <c r="C2570" s="24">
        <v>118.98</v>
      </c>
      <c r="D2570" s="25" t="str">
        <f t="shared" si="80"/>
        <v>201804</v>
      </c>
      <c r="E2570" s="22" t="str">
        <f t="shared" ca="1" si="81"/>
        <v>201801</v>
      </c>
      <c r="F2570" s="22">
        <v>2018</v>
      </c>
    </row>
    <row r="2571" spans="1:6" ht="15.75">
      <c r="A2571" s="22" t="s">
        <v>1442</v>
      </c>
      <c r="B2571" s="23">
        <v>43127</v>
      </c>
      <c r="C2571" s="24">
        <v>0</v>
      </c>
      <c r="D2571" s="25" t="str">
        <f t="shared" si="80"/>
        <v>201804</v>
      </c>
      <c r="E2571" s="22" t="str">
        <f t="shared" ca="1" si="81"/>
        <v>201801</v>
      </c>
      <c r="F2571" s="22">
        <v>2018</v>
      </c>
    </row>
    <row r="2572" spans="1:6" ht="15.75">
      <c r="A2572" s="22" t="s">
        <v>1441</v>
      </c>
      <c r="B2572" s="26">
        <v>43127</v>
      </c>
      <c r="C2572" s="27">
        <v>0</v>
      </c>
      <c r="D2572" s="25" t="str">
        <f t="shared" si="80"/>
        <v>201804</v>
      </c>
      <c r="E2572" s="22" t="str">
        <f t="shared" ca="1" si="81"/>
        <v>201801</v>
      </c>
      <c r="F2572" s="22">
        <v>2018</v>
      </c>
    </row>
    <row r="2573" spans="1:6" ht="15.75">
      <c r="A2573" s="22" t="s">
        <v>1442</v>
      </c>
      <c r="B2573" s="23">
        <v>43128</v>
      </c>
      <c r="C2573" s="24">
        <v>178.25</v>
      </c>
      <c r="D2573" s="25" t="str">
        <f t="shared" si="80"/>
        <v>201804</v>
      </c>
      <c r="E2573" s="22" t="str">
        <f t="shared" ca="1" si="81"/>
        <v>201801</v>
      </c>
      <c r="F2573" s="22">
        <v>2018</v>
      </c>
    </row>
    <row r="2574" spans="1:6" ht="15.75">
      <c r="A2574" s="22" t="s">
        <v>1442</v>
      </c>
      <c r="B2574" s="23">
        <v>43128</v>
      </c>
      <c r="C2574" s="24">
        <v>0.22</v>
      </c>
      <c r="D2574" s="25" t="str">
        <f t="shared" si="80"/>
        <v>201804</v>
      </c>
      <c r="E2574" s="22" t="str">
        <f t="shared" ca="1" si="81"/>
        <v>201801</v>
      </c>
      <c r="F2574" s="22">
        <v>2018</v>
      </c>
    </row>
    <row r="2575" spans="1:6" ht="15.75">
      <c r="A2575" s="22" t="s">
        <v>1441</v>
      </c>
      <c r="B2575" s="26">
        <v>43128</v>
      </c>
      <c r="C2575" s="27">
        <v>0</v>
      </c>
      <c r="D2575" s="25" t="str">
        <f t="shared" si="80"/>
        <v>201804</v>
      </c>
      <c r="E2575" s="22" t="str">
        <f t="shared" ca="1" si="81"/>
        <v>201801</v>
      </c>
      <c r="F2575" s="22">
        <v>2018</v>
      </c>
    </row>
    <row r="2576" spans="1:6" ht="15.75">
      <c r="A2576" s="22" t="s">
        <v>1442</v>
      </c>
      <c r="B2576" s="23">
        <v>43129</v>
      </c>
      <c r="C2576" s="24">
        <v>94.42</v>
      </c>
      <c r="D2576" s="25" t="str">
        <f t="shared" si="80"/>
        <v>201805</v>
      </c>
      <c r="E2576" s="22" t="str">
        <f t="shared" ca="1" si="81"/>
        <v>201801</v>
      </c>
      <c r="F2576" s="22">
        <v>2018</v>
      </c>
    </row>
    <row r="2577" spans="1:6" ht="15.75">
      <c r="A2577" s="22" t="s">
        <v>1442</v>
      </c>
      <c r="B2577" s="23">
        <v>43129</v>
      </c>
      <c r="C2577" s="24">
        <v>0.25</v>
      </c>
      <c r="D2577" s="25" t="str">
        <f t="shared" si="80"/>
        <v>201805</v>
      </c>
      <c r="E2577" s="22" t="str">
        <f t="shared" ca="1" si="81"/>
        <v>201801</v>
      </c>
      <c r="F2577" s="22">
        <v>2018</v>
      </c>
    </row>
    <row r="2578" spans="1:6" ht="15.75">
      <c r="A2578" s="22" t="s">
        <v>1441</v>
      </c>
      <c r="B2578" s="26">
        <v>43129</v>
      </c>
      <c r="C2578" s="27">
        <v>0</v>
      </c>
      <c r="D2578" s="25" t="str">
        <f t="shared" si="80"/>
        <v>201805</v>
      </c>
      <c r="E2578" s="22" t="str">
        <f t="shared" ca="1" si="81"/>
        <v>201801</v>
      </c>
      <c r="F2578" s="22">
        <v>2018</v>
      </c>
    </row>
    <row r="2579" spans="1:6" ht="15.75">
      <c r="A2579" s="22" t="s">
        <v>1442</v>
      </c>
      <c r="B2579" s="23">
        <v>43130</v>
      </c>
      <c r="C2579" s="24">
        <v>78.44</v>
      </c>
      <c r="D2579" s="25" t="str">
        <f t="shared" si="80"/>
        <v>201805</v>
      </c>
      <c r="E2579" s="22" t="str">
        <f t="shared" ca="1" si="81"/>
        <v>201801</v>
      </c>
      <c r="F2579" s="22">
        <v>2018</v>
      </c>
    </row>
    <row r="2580" spans="1:6" ht="15.75">
      <c r="A2580" s="22" t="s">
        <v>1442</v>
      </c>
      <c r="B2580" s="23">
        <v>43130</v>
      </c>
      <c r="C2580" s="24">
        <v>0</v>
      </c>
      <c r="D2580" s="25" t="str">
        <f t="shared" si="80"/>
        <v>201805</v>
      </c>
      <c r="E2580" s="22" t="str">
        <f t="shared" ca="1" si="81"/>
        <v>201801</v>
      </c>
      <c r="F2580" s="22">
        <v>2018</v>
      </c>
    </row>
    <row r="2581" spans="1:6" ht="15.75">
      <c r="A2581" s="22" t="s">
        <v>1441</v>
      </c>
      <c r="B2581" s="26">
        <v>43130</v>
      </c>
      <c r="C2581" s="27">
        <v>0</v>
      </c>
      <c r="D2581" s="25" t="str">
        <f t="shared" si="80"/>
        <v>201805</v>
      </c>
      <c r="E2581" s="22" t="str">
        <f t="shared" ca="1" si="81"/>
        <v>201801</v>
      </c>
      <c r="F2581" s="22">
        <v>2018</v>
      </c>
    </row>
    <row r="2582" spans="1:6" ht="15.75">
      <c r="A2582" s="22" t="s">
        <v>1442</v>
      </c>
      <c r="B2582" s="23">
        <v>43131</v>
      </c>
      <c r="C2582" s="24">
        <v>77.13</v>
      </c>
      <c r="D2582" s="25" t="str">
        <f t="shared" si="80"/>
        <v>201805</v>
      </c>
      <c r="E2582" s="22" t="str">
        <f t="shared" ca="1" si="81"/>
        <v>201801</v>
      </c>
      <c r="F2582" s="22">
        <v>2018</v>
      </c>
    </row>
    <row r="2583" spans="1:6" ht="15.75">
      <c r="A2583" s="22" t="s">
        <v>1442</v>
      </c>
      <c r="B2583" s="23">
        <v>43131</v>
      </c>
      <c r="C2583" s="24">
        <v>0</v>
      </c>
      <c r="D2583" s="25" t="str">
        <f t="shared" si="80"/>
        <v>201805</v>
      </c>
      <c r="E2583" s="22" t="str">
        <f t="shared" ca="1" si="81"/>
        <v>201801</v>
      </c>
      <c r="F2583" s="22">
        <v>2018</v>
      </c>
    </row>
    <row r="2584" spans="1:6" ht="15.75">
      <c r="A2584" s="22" t="s">
        <v>1441</v>
      </c>
      <c r="B2584" s="26">
        <v>43131</v>
      </c>
      <c r="C2584" s="27">
        <v>0</v>
      </c>
      <c r="D2584" s="25" t="str">
        <f t="shared" si="80"/>
        <v>201805</v>
      </c>
      <c r="E2584" s="22" t="str">
        <f t="shared" ca="1" si="81"/>
        <v>201801</v>
      </c>
      <c r="F2584" s="22">
        <v>2018</v>
      </c>
    </row>
    <row r="2585" spans="1:6" ht="15.75">
      <c r="A2585" s="22" t="s">
        <v>1442</v>
      </c>
      <c r="B2585" s="23">
        <v>43132</v>
      </c>
      <c r="C2585" s="24">
        <v>50.51</v>
      </c>
      <c r="D2585" s="25" t="str">
        <f t="shared" si="80"/>
        <v>201805</v>
      </c>
      <c r="E2585" s="22" t="str">
        <f t="shared" ca="1" si="81"/>
        <v>201802</v>
      </c>
      <c r="F2585" s="22">
        <v>2018</v>
      </c>
    </row>
    <row r="2586" spans="1:6" ht="15.75">
      <c r="A2586" s="22" t="s">
        <v>1442</v>
      </c>
      <c r="B2586" s="23">
        <v>43132</v>
      </c>
      <c r="C2586" s="24">
        <v>0.36</v>
      </c>
      <c r="D2586" s="25" t="str">
        <f t="shared" si="80"/>
        <v>201805</v>
      </c>
      <c r="E2586" s="22" t="str">
        <f t="shared" ca="1" si="81"/>
        <v>201802</v>
      </c>
      <c r="F2586" s="22">
        <v>2018</v>
      </c>
    </row>
    <row r="2587" spans="1:6" ht="15.75">
      <c r="A2587" s="22" t="s">
        <v>1441</v>
      </c>
      <c r="B2587" s="26">
        <v>43132</v>
      </c>
      <c r="C2587" s="27">
        <v>0</v>
      </c>
      <c r="D2587" s="25" t="str">
        <f t="shared" si="80"/>
        <v>201805</v>
      </c>
      <c r="E2587" s="22" t="str">
        <f t="shared" ca="1" si="81"/>
        <v>201802</v>
      </c>
      <c r="F2587" s="22">
        <v>2018</v>
      </c>
    </row>
    <row r="2588" spans="1:6" ht="15.75">
      <c r="A2588" s="22" t="s">
        <v>1442</v>
      </c>
      <c r="B2588" s="23">
        <v>43133</v>
      </c>
      <c r="C2588" s="24">
        <v>64.489999999999995</v>
      </c>
      <c r="D2588" s="25" t="str">
        <f t="shared" si="80"/>
        <v>201805</v>
      </c>
      <c r="E2588" s="22" t="str">
        <f t="shared" ca="1" si="81"/>
        <v>201802</v>
      </c>
      <c r="F2588" s="22">
        <v>2018</v>
      </c>
    </row>
    <row r="2589" spans="1:6" ht="15.75">
      <c r="A2589" s="22" t="s">
        <v>1442</v>
      </c>
      <c r="B2589" s="23">
        <v>43133</v>
      </c>
      <c r="C2589" s="24">
        <v>0</v>
      </c>
      <c r="D2589" s="25" t="str">
        <f t="shared" si="80"/>
        <v>201805</v>
      </c>
      <c r="E2589" s="22" t="str">
        <f t="shared" ca="1" si="81"/>
        <v>201802</v>
      </c>
      <c r="F2589" s="22">
        <v>2018</v>
      </c>
    </row>
    <row r="2590" spans="1:6" ht="15.75">
      <c r="A2590" s="22" t="s">
        <v>1441</v>
      </c>
      <c r="B2590" s="26">
        <v>43133</v>
      </c>
      <c r="C2590" s="27">
        <v>0</v>
      </c>
      <c r="D2590" s="25" t="str">
        <f t="shared" si="80"/>
        <v>201805</v>
      </c>
      <c r="E2590" s="22" t="str">
        <f t="shared" ca="1" si="81"/>
        <v>201802</v>
      </c>
      <c r="F2590" s="22">
        <v>2018</v>
      </c>
    </row>
    <row r="2591" spans="1:6" ht="15.75">
      <c r="A2591" s="22" t="s">
        <v>1442</v>
      </c>
      <c r="B2591" s="23">
        <v>43134</v>
      </c>
      <c r="C2591" s="24">
        <v>88.51</v>
      </c>
      <c r="D2591" s="25" t="str">
        <f t="shared" si="80"/>
        <v>201805</v>
      </c>
      <c r="E2591" s="22" t="str">
        <f t="shared" ca="1" si="81"/>
        <v>201802</v>
      </c>
      <c r="F2591" s="22">
        <v>2018</v>
      </c>
    </row>
    <row r="2592" spans="1:6" ht="15.75">
      <c r="A2592" s="22" t="s">
        <v>1442</v>
      </c>
      <c r="B2592" s="23">
        <v>43134</v>
      </c>
      <c r="C2592" s="24">
        <v>0</v>
      </c>
      <c r="D2592" s="25" t="str">
        <f t="shared" si="80"/>
        <v>201805</v>
      </c>
      <c r="E2592" s="22" t="str">
        <f t="shared" ca="1" si="81"/>
        <v>201802</v>
      </c>
      <c r="F2592" s="22">
        <v>2018</v>
      </c>
    </row>
    <row r="2593" spans="1:6" ht="15.75">
      <c r="A2593" s="22" t="s">
        <v>1441</v>
      </c>
      <c r="B2593" s="26">
        <v>43134</v>
      </c>
      <c r="C2593" s="27">
        <v>0</v>
      </c>
      <c r="D2593" s="25" t="str">
        <f t="shared" si="80"/>
        <v>201805</v>
      </c>
      <c r="E2593" s="22" t="str">
        <f t="shared" ca="1" si="81"/>
        <v>201802</v>
      </c>
      <c r="F2593" s="22">
        <v>2018</v>
      </c>
    </row>
    <row r="2594" spans="1:6" ht="15.75">
      <c r="A2594" s="22" t="s">
        <v>1442</v>
      </c>
      <c r="B2594" s="23">
        <v>43135</v>
      </c>
      <c r="C2594" s="24">
        <v>115.25</v>
      </c>
      <c r="D2594" s="25" t="str">
        <f t="shared" si="80"/>
        <v>201805</v>
      </c>
      <c r="E2594" s="22" t="str">
        <f t="shared" ca="1" si="81"/>
        <v>201802</v>
      </c>
      <c r="F2594" s="22">
        <v>2018</v>
      </c>
    </row>
    <row r="2595" spans="1:6" ht="15.75">
      <c r="A2595" s="22" t="s">
        <v>1442</v>
      </c>
      <c r="B2595" s="23">
        <v>43135</v>
      </c>
      <c r="C2595" s="24">
        <v>0</v>
      </c>
      <c r="D2595" s="25" t="str">
        <f t="shared" si="80"/>
        <v>201805</v>
      </c>
      <c r="E2595" s="22" t="str">
        <f t="shared" ca="1" si="81"/>
        <v>201802</v>
      </c>
      <c r="F2595" s="22">
        <v>2018</v>
      </c>
    </row>
    <row r="2596" spans="1:6" ht="15.75">
      <c r="A2596" s="22" t="s">
        <v>1441</v>
      </c>
      <c r="B2596" s="26">
        <v>43135</v>
      </c>
      <c r="C2596" s="27">
        <v>0</v>
      </c>
      <c r="D2596" s="25" t="str">
        <f t="shared" si="80"/>
        <v>201805</v>
      </c>
      <c r="E2596" s="22" t="str">
        <f t="shared" ca="1" si="81"/>
        <v>201802</v>
      </c>
      <c r="F2596" s="22">
        <v>2018</v>
      </c>
    </row>
    <row r="2597" spans="1:6" ht="15.75">
      <c r="A2597" s="22" t="s">
        <v>1442</v>
      </c>
      <c r="B2597" s="23">
        <v>43136</v>
      </c>
      <c r="C2597" s="24">
        <v>65.5</v>
      </c>
      <c r="D2597" s="25" t="str">
        <f t="shared" si="80"/>
        <v>201806</v>
      </c>
      <c r="E2597" s="22" t="str">
        <f t="shared" ca="1" si="81"/>
        <v>201802</v>
      </c>
      <c r="F2597" s="22">
        <v>2018</v>
      </c>
    </row>
    <row r="2598" spans="1:6" ht="15.75">
      <c r="A2598" s="22" t="s">
        <v>1442</v>
      </c>
      <c r="B2598" s="23">
        <v>43136</v>
      </c>
      <c r="C2598" s="24">
        <v>0</v>
      </c>
      <c r="D2598" s="25" t="str">
        <f t="shared" si="80"/>
        <v>201806</v>
      </c>
      <c r="E2598" s="22" t="str">
        <f t="shared" ca="1" si="81"/>
        <v>201802</v>
      </c>
      <c r="F2598" s="22">
        <v>2018</v>
      </c>
    </row>
    <row r="2599" spans="1:6" ht="15.75">
      <c r="A2599" s="22" t="s">
        <v>1441</v>
      </c>
      <c r="B2599" s="26">
        <v>43136</v>
      </c>
      <c r="C2599" s="27">
        <v>0</v>
      </c>
      <c r="D2599" s="25" t="str">
        <f t="shared" si="80"/>
        <v>201806</v>
      </c>
      <c r="E2599" s="22" t="str">
        <f t="shared" ca="1" si="81"/>
        <v>201802</v>
      </c>
      <c r="F2599" s="22">
        <v>2018</v>
      </c>
    </row>
    <row r="2600" spans="1:6" ht="15.75">
      <c r="A2600" s="22" t="s">
        <v>1442</v>
      </c>
      <c r="B2600" s="23">
        <v>43137</v>
      </c>
      <c r="C2600" s="24">
        <v>46.64</v>
      </c>
      <c r="D2600" s="25" t="str">
        <f t="shared" si="80"/>
        <v>201806</v>
      </c>
      <c r="E2600" s="22" t="str">
        <f t="shared" ca="1" si="81"/>
        <v>201802</v>
      </c>
      <c r="F2600" s="22">
        <v>2018</v>
      </c>
    </row>
    <row r="2601" spans="1:6" ht="15.75">
      <c r="A2601" s="22" t="s">
        <v>1442</v>
      </c>
      <c r="B2601" s="23">
        <v>43137</v>
      </c>
      <c r="C2601" s="24">
        <v>0</v>
      </c>
      <c r="D2601" s="25" t="str">
        <f t="shared" si="80"/>
        <v>201806</v>
      </c>
      <c r="E2601" s="22" t="str">
        <f t="shared" ca="1" si="81"/>
        <v>201802</v>
      </c>
      <c r="F2601" s="22">
        <v>2018</v>
      </c>
    </row>
    <row r="2602" spans="1:6" ht="15.75">
      <c r="A2602" s="22" t="s">
        <v>1441</v>
      </c>
      <c r="B2602" s="26">
        <v>43137</v>
      </c>
      <c r="C2602" s="27">
        <v>0</v>
      </c>
      <c r="D2602" s="25" t="str">
        <f t="shared" si="80"/>
        <v>201806</v>
      </c>
      <c r="E2602" s="22" t="str">
        <f t="shared" ca="1" si="81"/>
        <v>201802</v>
      </c>
      <c r="F2602" s="22">
        <v>2018</v>
      </c>
    </row>
    <row r="2603" spans="1:6" ht="15.75">
      <c r="A2603" s="22" t="s">
        <v>1442</v>
      </c>
      <c r="B2603" s="23">
        <v>43138</v>
      </c>
      <c r="C2603" s="24">
        <v>53.7</v>
      </c>
      <c r="D2603" s="25" t="str">
        <f t="shared" si="80"/>
        <v>201806</v>
      </c>
      <c r="E2603" s="22" t="str">
        <f t="shared" ca="1" si="81"/>
        <v>201802</v>
      </c>
      <c r="F2603" s="22">
        <v>2018</v>
      </c>
    </row>
    <row r="2604" spans="1:6" ht="15.75">
      <c r="A2604" s="22" t="s">
        <v>1442</v>
      </c>
      <c r="B2604" s="23">
        <v>43138</v>
      </c>
      <c r="C2604" s="24">
        <v>0</v>
      </c>
      <c r="D2604" s="25" t="str">
        <f t="shared" si="80"/>
        <v>201806</v>
      </c>
      <c r="E2604" s="22" t="str">
        <f t="shared" ca="1" si="81"/>
        <v>201802</v>
      </c>
      <c r="F2604" s="22">
        <v>2018</v>
      </c>
    </row>
    <row r="2605" spans="1:6" ht="15.75">
      <c r="A2605" s="22" t="s">
        <v>1441</v>
      </c>
      <c r="B2605" s="26">
        <v>43138</v>
      </c>
      <c r="C2605" s="27">
        <v>29.16</v>
      </c>
      <c r="D2605" s="25" t="str">
        <f t="shared" si="80"/>
        <v>201806</v>
      </c>
      <c r="E2605" s="22" t="str">
        <f t="shared" ca="1" si="81"/>
        <v>201802</v>
      </c>
      <c r="F2605" s="22">
        <v>2018</v>
      </c>
    </row>
    <row r="2606" spans="1:6" ht="15.75">
      <c r="A2606" s="22" t="s">
        <v>1442</v>
      </c>
      <c r="B2606" s="23">
        <v>43139</v>
      </c>
      <c r="C2606" s="24">
        <v>38.130000000000003</v>
      </c>
      <c r="D2606" s="25" t="str">
        <f t="shared" si="80"/>
        <v>201806</v>
      </c>
      <c r="E2606" s="22" t="str">
        <f t="shared" ca="1" si="81"/>
        <v>201802</v>
      </c>
      <c r="F2606" s="22">
        <v>2018</v>
      </c>
    </row>
    <row r="2607" spans="1:6" ht="15.75">
      <c r="A2607" s="22" t="s">
        <v>1442</v>
      </c>
      <c r="B2607" s="23">
        <v>43139</v>
      </c>
      <c r="C2607" s="24">
        <v>0</v>
      </c>
      <c r="D2607" s="25" t="str">
        <f t="shared" si="80"/>
        <v>201806</v>
      </c>
      <c r="E2607" s="22" t="str">
        <f t="shared" ca="1" si="81"/>
        <v>201802</v>
      </c>
      <c r="F2607" s="22">
        <v>2018</v>
      </c>
    </row>
    <row r="2608" spans="1:6" ht="15.75">
      <c r="A2608" s="22" t="s">
        <v>1441</v>
      </c>
      <c r="B2608" s="26">
        <v>43139</v>
      </c>
      <c r="C2608" s="27">
        <v>65.31</v>
      </c>
      <c r="D2608" s="25" t="str">
        <f t="shared" si="80"/>
        <v>201806</v>
      </c>
      <c r="E2608" s="22" t="str">
        <f t="shared" ca="1" si="81"/>
        <v>201802</v>
      </c>
      <c r="F2608" s="22">
        <v>2018</v>
      </c>
    </row>
    <row r="2609" spans="1:6" ht="15.75">
      <c r="A2609" s="22" t="s">
        <v>1442</v>
      </c>
      <c r="B2609" s="23">
        <v>43140</v>
      </c>
      <c r="C2609" s="24">
        <v>32.89</v>
      </c>
      <c r="D2609" s="25" t="str">
        <f t="shared" si="80"/>
        <v>201806</v>
      </c>
      <c r="E2609" s="22" t="str">
        <f t="shared" ca="1" si="81"/>
        <v>201802</v>
      </c>
      <c r="F2609" s="22">
        <v>2018</v>
      </c>
    </row>
    <row r="2610" spans="1:6" ht="15.75">
      <c r="A2610" s="22" t="s">
        <v>1442</v>
      </c>
      <c r="B2610" s="23">
        <v>43140</v>
      </c>
      <c r="C2610" s="24">
        <v>0</v>
      </c>
      <c r="D2610" s="25" t="str">
        <f t="shared" si="80"/>
        <v>201806</v>
      </c>
      <c r="E2610" s="22" t="str">
        <f t="shared" ca="1" si="81"/>
        <v>201802</v>
      </c>
      <c r="F2610" s="22">
        <v>2018</v>
      </c>
    </row>
    <row r="2611" spans="1:6" ht="15.75">
      <c r="A2611" s="22" t="s">
        <v>1441</v>
      </c>
      <c r="B2611" s="26">
        <v>43140</v>
      </c>
      <c r="C2611" s="27">
        <v>18.350000000000001</v>
      </c>
      <c r="D2611" s="25" t="str">
        <f t="shared" si="80"/>
        <v>201806</v>
      </c>
      <c r="E2611" s="22" t="str">
        <f t="shared" ca="1" si="81"/>
        <v>201802</v>
      </c>
      <c r="F2611" s="22">
        <v>2018</v>
      </c>
    </row>
    <row r="2612" spans="1:6" ht="15.75">
      <c r="A2612" s="22" t="s">
        <v>1442</v>
      </c>
      <c r="B2612" s="23">
        <v>43141</v>
      </c>
      <c r="C2612" s="24">
        <v>51.1</v>
      </c>
      <c r="D2612" s="25" t="str">
        <f t="shared" si="80"/>
        <v>201806</v>
      </c>
      <c r="E2612" s="22" t="str">
        <f t="shared" ca="1" si="81"/>
        <v>201802</v>
      </c>
      <c r="F2612" s="22">
        <v>2018</v>
      </c>
    </row>
    <row r="2613" spans="1:6" ht="15.75">
      <c r="A2613" s="22" t="s">
        <v>1441</v>
      </c>
      <c r="B2613" s="26">
        <v>43141</v>
      </c>
      <c r="C2613" s="27">
        <v>0</v>
      </c>
      <c r="D2613" s="25" t="str">
        <f t="shared" si="80"/>
        <v>201806</v>
      </c>
      <c r="E2613" s="22" t="str">
        <f t="shared" ca="1" si="81"/>
        <v>201802</v>
      </c>
      <c r="F2613" s="22">
        <v>2018</v>
      </c>
    </row>
    <row r="2614" spans="1:6" ht="15.75">
      <c r="A2614" s="22" t="s">
        <v>1442</v>
      </c>
      <c r="B2614" s="23">
        <v>43142</v>
      </c>
      <c r="C2614" s="24">
        <v>79.55</v>
      </c>
      <c r="D2614" s="25" t="str">
        <f t="shared" si="80"/>
        <v>201806</v>
      </c>
      <c r="E2614" s="22" t="str">
        <f t="shared" ca="1" si="81"/>
        <v>201802</v>
      </c>
      <c r="F2614" s="22">
        <v>2018</v>
      </c>
    </row>
    <row r="2615" spans="1:6" ht="15.75">
      <c r="A2615" s="22" t="s">
        <v>1442</v>
      </c>
      <c r="B2615" s="23">
        <v>43142</v>
      </c>
      <c r="C2615" s="24">
        <v>0</v>
      </c>
      <c r="D2615" s="25" t="str">
        <f t="shared" si="80"/>
        <v>201806</v>
      </c>
      <c r="E2615" s="22" t="str">
        <f t="shared" ca="1" si="81"/>
        <v>201802</v>
      </c>
      <c r="F2615" s="22">
        <v>2018</v>
      </c>
    </row>
    <row r="2616" spans="1:6" ht="15.75">
      <c r="A2616" s="22" t="s">
        <v>1441</v>
      </c>
      <c r="B2616" s="26">
        <v>43142</v>
      </c>
      <c r="C2616" s="27">
        <v>0</v>
      </c>
      <c r="D2616" s="25" t="str">
        <f t="shared" si="80"/>
        <v>201806</v>
      </c>
      <c r="E2616" s="22" t="str">
        <f t="shared" ca="1" si="81"/>
        <v>201802</v>
      </c>
      <c r="F2616" s="22">
        <v>2018</v>
      </c>
    </row>
    <row r="2617" spans="1:6" ht="15.75">
      <c r="A2617" s="22" t="s">
        <v>1442</v>
      </c>
      <c r="B2617" s="23">
        <v>43143</v>
      </c>
      <c r="C2617" s="24">
        <v>47.17</v>
      </c>
      <c r="D2617" s="25" t="str">
        <f t="shared" si="80"/>
        <v>201807</v>
      </c>
      <c r="E2617" s="22" t="str">
        <f t="shared" ca="1" si="81"/>
        <v>201802</v>
      </c>
      <c r="F2617" s="22">
        <v>2018</v>
      </c>
    </row>
    <row r="2618" spans="1:6" ht="15.75">
      <c r="A2618" s="22" t="s">
        <v>1442</v>
      </c>
      <c r="B2618" s="23">
        <v>43143</v>
      </c>
      <c r="C2618" s="24">
        <v>0</v>
      </c>
      <c r="D2618" s="25" t="str">
        <f t="shared" si="80"/>
        <v>201807</v>
      </c>
      <c r="E2618" s="22" t="str">
        <f t="shared" ca="1" si="81"/>
        <v>201802</v>
      </c>
      <c r="F2618" s="22">
        <v>2018</v>
      </c>
    </row>
    <row r="2619" spans="1:6" ht="15.75">
      <c r="A2619" s="22" t="s">
        <v>1441</v>
      </c>
      <c r="B2619" s="26">
        <v>43143</v>
      </c>
      <c r="C2619" s="27">
        <v>22.99</v>
      </c>
      <c r="D2619" s="25" t="str">
        <f t="shared" si="80"/>
        <v>201807</v>
      </c>
      <c r="E2619" s="22" t="str">
        <f t="shared" ca="1" si="81"/>
        <v>201802</v>
      </c>
      <c r="F2619" s="22">
        <v>2018</v>
      </c>
    </row>
    <row r="2620" spans="1:6" ht="15.75">
      <c r="A2620" s="22" t="s">
        <v>1442</v>
      </c>
      <c r="B2620" s="23">
        <v>43144</v>
      </c>
      <c r="C2620" s="24">
        <v>37.08</v>
      </c>
      <c r="D2620" s="25" t="str">
        <f t="shared" si="80"/>
        <v>201807</v>
      </c>
      <c r="E2620" s="22" t="str">
        <f t="shared" ca="1" si="81"/>
        <v>201802</v>
      </c>
      <c r="F2620" s="22">
        <v>2018</v>
      </c>
    </row>
    <row r="2621" spans="1:6" ht="15.75">
      <c r="A2621" s="22" t="s">
        <v>1442</v>
      </c>
      <c r="B2621" s="23">
        <v>43144</v>
      </c>
      <c r="C2621" s="24">
        <v>0</v>
      </c>
      <c r="D2621" s="25" t="str">
        <f t="shared" si="80"/>
        <v>201807</v>
      </c>
      <c r="E2621" s="22" t="str">
        <f t="shared" ca="1" si="81"/>
        <v>201802</v>
      </c>
      <c r="F2621" s="22">
        <v>2018</v>
      </c>
    </row>
    <row r="2622" spans="1:6" ht="15.75">
      <c r="A2622" s="22" t="s">
        <v>1441</v>
      </c>
      <c r="B2622" s="26">
        <v>43144</v>
      </c>
      <c r="C2622" s="27">
        <v>114.98</v>
      </c>
      <c r="D2622" s="25" t="str">
        <f t="shared" si="80"/>
        <v>201807</v>
      </c>
      <c r="E2622" s="22" t="str">
        <f t="shared" ca="1" si="81"/>
        <v>201802</v>
      </c>
      <c r="F2622" s="22">
        <v>2018</v>
      </c>
    </row>
    <row r="2623" spans="1:6" ht="15.75">
      <c r="A2623" s="22" t="s">
        <v>1442</v>
      </c>
      <c r="B2623" s="23">
        <v>43145</v>
      </c>
      <c r="C2623" s="24">
        <v>39.119999999999997</v>
      </c>
      <c r="D2623" s="25" t="str">
        <f t="shared" si="80"/>
        <v>201807</v>
      </c>
      <c r="E2623" s="22" t="str">
        <f t="shared" ca="1" si="81"/>
        <v>201802</v>
      </c>
      <c r="F2623" s="22">
        <v>2018</v>
      </c>
    </row>
    <row r="2624" spans="1:6" ht="15.75">
      <c r="A2624" s="22" t="s">
        <v>1442</v>
      </c>
      <c r="B2624" s="23">
        <v>43145</v>
      </c>
      <c r="C2624" s="24">
        <v>0</v>
      </c>
      <c r="D2624" s="25" t="str">
        <f t="shared" si="80"/>
        <v>201807</v>
      </c>
      <c r="E2624" s="22" t="str">
        <f t="shared" ca="1" si="81"/>
        <v>201802</v>
      </c>
      <c r="F2624" s="22">
        <v>2018</v>
      </c>
    </row>
    <row r="2625" spans="1:6" ht="15.75">
      <c r="A2625" s="22" t="s">
        <v>1441</v>
      </c>
      <c r="B2625" s="26">
        <v>43145</v>
      </c>
      <c r="C2625" s="27">
        <v>52.83</v>
      </c>
      <c r="D2625" s="25" t="str">
        <f t="shared" si="80"/>
        <v>201807</v>
      </c>
      <c r="E2625" s="22" t="str">
        <f t="shared" ca="1" si="81"/>
        <v>201802</v>
      </c>
      <c r="F2625" s="22">
        <v>2018</v>
      </c>
    </row>
    <row r="2626" spans="1:6" ht="15.75">
      <c r="A2626" s="22" t="s">
        <v>1442</v>
      </c>
      <c r="B2626" s="23">
        <v>43146</v>
      </c>
      <c r="C2626" s="24">
        <v>39.630000000000003</v>
      </c>
      <c r="D2626" s="25" t="str">
        <f t="shared" si="80"/>
        <v>201807</v>
      </c>
      <c r="E2626" s="22" t="str">
        <f t="shared" ca="1" si="81"/>
        <v>201802</v>
      </c>
      <c r="F2626" s="22">
        <v>2018</v>
      </c>
    </row>
    <row r="2627" spans="1:6" ht="15.75">
      <c r="A2627" s="22" t="s">
        <v>1442</v>
      </c>
      <c r="B2627" s="23">
        <v>43146</v>
      </c>
      <c r="C2627" s="24">
        <v>0</v>
      </c>
      <c r="D2627" s="25" t="str">
        <f t="shared" ref="D2627:D2690" si="82">CONCATENATE(YEAR(B2627-WEEKDAY(B2627,3)+3),TEXT(WEEKNUM(B2627,21),"00"))</f>
        <v>201807</v>
      </c>
      <c r="E2627" s="22" t="str">
        <f t="shared" ref="E2627:E2690" ca="1" si="83">IF(
  AND(
    YEAR(B2627)=YEAR(TODAY())-1,
    MONTH(B2627)=MONTH(TODAY()),
    DAY(B2627)&gt;DAY($H$2)
  ),
  0,
  CONCATENATE(YEAR(B2627),TEXT(MONTH(B2627),"00"))
)</f>
        <v>201802</v>
      </c>
      <c r="F2627" s="22">
        <v>2018</v>
      </c>
    </row>
    <row r="2628" spans="1:6" ht="15.75">
      <c r="A2628" s="22" t="s">
        <v>1441</v>
      </c>
      <c r="B2628" s="26">
        <v>43146</v>
      </c>
      <c r="C2628" s="27">
        <v>23.03</v>
      </c>
      <c r="D2628" s="25" t="str">
        <f t="shared" si="82"/>
        <v>201807</v>
      </c>
      <c r="E2628" s="22" t="str">
        <f t="shared" ca="1" si="83"/>
        <v>201802</v>
      </c>
      <c r="F2628" s="22">
        <v>2018</v>
      </c>
    </row>
    <row r="2629" spans="1:6" ht="15.75">
      <c r="A2629" s="22" t="s">
        <v>1442</v>
      </c>
      <c r="B2629" s="23">
        <v>43147</v>
      </c>
      <c r="C2629" s="24">
        <v>35.06</v>
      </c>
      <c r="D2629" s="25" t="str">
        <f t="shared" si="82"/>
        <v>201807</v>
      </c>
      <c r="E2629" s="22" t="str">
        <f t="shared" ca="1" si="83"/>
        <v>201802</v>
      </c>
      <c r="F2629" s="22">
        <v>2018</v>
      </c>
    </row>
    <row r="2630" spans="1:6" ht="15.75">
      <c r="A2630" s="22" t="s">
        <v>1442</v>
      </c>
      <c r="B2630" s="23">
        <v>43147</v>
      </c>
      <c r="C2630" s="24">
        <v>0</v>
      </c>
      <c r="D2630" s="25" t="str">
        <f t="shared" si="82"/>
        <v>201807</v>
      </c>
      <c r="E2630" s="22" t="str">
        <f t="shared" ca="1" si="83"/>
        <v>201802</v>
      </c>
      <c r="F2630" s="22">
        <v>2018</v>
      </c>
    </row>
    <row r="2631" spans="1:6" ht="15.75">
      <c r="A2631" s="22" t="s">
        <v>1441</v>
      </c>
      <c r="B2631" s="26">
        <v>43147</v>
      </c>
      <c r="C2631" s="27">
        <v>23.16</v>
      </c>
      <c r="D2631" s="25" t="str">
        <f t="shared" si="82"/>
        <v>201807</v>
      </c>
      <c r="E2631" s="22" t="str">
        <f t="shared" ca="1" si="83"/>
        <v>201802</v>
      </c>
      <c r="F2631" s="22">
        <v>2018</v>
      </c>
    </row>
    <row r="2632" spans="1:6" ht="15.75">
      <c r="A2632" s="22" t="s">
        <v>1442</v>
      </c>
      <c r="B2632" s="23">
        <v>43148</v>
      </c>
      <c r="C2632" s="24">
        <v>41.85</v>
      </c>
      <c r="D2632" s="25" t="str">
        <f t="shared" si="82"/>
        <v>201807</v>
      </c>
      <c r="E2632" s="22" t="str">
        <f t="shared" ca="1" si="83"/>
        <v>201802</v>
      </c>
      <c r="F2632" s="22">
        <v>2018</v>
      </c>
    </row>
    <row r="2633" spans="1:6" ht="15.75">
      <c r="A2633" s="22" t="s">
        <v>1442</v>
      </c>
      <c r="B2633" s="23">
        <v>43148</v>
      </c>
      <c r="C2633" s="24">
        <v>0</v>
      </c>
      <c r="D2633" s="25" t="str">
        <f t="shared" si="82"/>
        <v>201807</v>
      </c>
      <c r="E2633" s="22" t="str">
        <f t="shared" ca="1" si="83"/>
        <v>201802</v>
      </c>
      <c r="F2633" s="22">
        <v>2018</v>
      </c>
    </row>
    <row r="2634" spans="1:6" ht="15.75">
      <c r="A2634" s="22" t="s">
        <v>1441</v>
      </c>
      <c r="B2634" s="26">
        <v>43148</v>
      </c>
      <c r="C2634" s="27">
        <v>23.18</v>
      </c>
      <c r="D2634" s="25" t="str">
        <f t="shared" si="82"/>
        <v>201807</v>
      </c>
      <c r="E2634" s="22" t="str">
        <f t="shared" ca="1" si="83"/>
        <v>201802</v>
      </c>
      <c r="F2634" s="22">
        <v>2018</v>
      </c>
    </row>
    <row r="2635" spans="1:6" ht="15.75">
      <c r="A2635" s="22" t="s">
        <v>1442</v>
      </c>
      <c r="B2635" s="23">
        <v>43149</v>
      </c>
      <c r="C2635" s="24">
        <v>67.13</v>
      </c>
      <c r="D2635" s="25" t="str">
        <f t="shared" si="82"/>
        <v>201807</v>
      </c>
      <c r="E2635" s="22" t="str">
        <f t="shared" ca="1" si="83"/>
        <v>201802</v>
      </c>
      <c r="F2635" s="22">
        <v>2018</v>
      </c>
    </row>
    <row r="2636" spans="1:6" ht="15.75">
      <c r="A2636" s="22" t="s">
        <v>1442</v>
      </c>
      <c r="B2636" s="23">
        <v>43149</v>
      </c>
      <c r="C2636" s="24">
        <v>0.13</v>
      </c>
      <c r="D2636" s="25" t="str">
        <f t="shared" si="82"/>
        <v>201807</v>
      </c>
      <c r="E2636" s="22" t="str">
        <f t="shared" ca="1" si="83"/>
        <v>201802</v>
      </c>
      <c r="F2636" s="22">
        <v>2018</v>
      </c>
    </row>
    <row r="2637" spans="1:6" ht="15.75">
      <c r="A2637" s="22" t="s">
        <v>1441</v>
      </c>
      <c r="B2637" s="26">
        <v>43149</v>
      </c>
      <c r="C2637" s="27">
        <v>20.149999999999999</v>
      </c>
      <c r="D2637" s="25" t="str">
        <f t="shared" si="82"/>
        <v>201807</v>
      </c>
      <c r="E2637" s="22" t="str">
        <f t="shared" ca="1" si="83"/>
        <v>201802</v>
      </c>
      <c r="F2637" s="22">
        <v>2018</v>
      </c>
    </row>
    <row r="2638" spans="1:6" ht="15.75">
      <c r="A2638" s="22" t="s">
        <v>1442</v>
      </c>
      <c r="B2638" s="23">
        <v>43150</v>
      </c>
      <c r="C2638" s="24">
        <v>35.61</v>
      </c>
      <c r="D2638" s="25" t="str">
        <f t="shared" si="82"/>
        <v>201808</v>
      </c>
      <c r="E2638" s="22" t="str">
        <f t="shared" ca="1" si="83"/>
        <v>201802</v>
      </c>
      <c r="F2638" s="22">
        <v>2018</v>
      </c>
    </row>
    <row r="2639" spans="1:6" ht="15.75">
      <c r="A2639" s="22" t="s">
        <v>1442</v>
      </c>
      <c r="B2639" s="23">
        <v>43150</v>
      </c>
      <c r="C2639" s="24">
        <v>0</v>
      </c>
      <c r="D2639" s="25" t="str">
        <f t="shared" si="82"/>
        <v>201808</v>
      </c>
      <c r="E2639" s="22" t="str">
        <f t="shared" ca="1" si="83"/>
        <v>201802</v>
      </c>
      <c r="F2639" s="22">
        <v>2018</v>
      </c>
    </row>
    <row r="2640" spans="1:6" ht="15.75">
      <c r="A2640" s="22" t="s">
        <v>1441</v>
      </c>
      <c r="B2640" s="26">
        <v>43150</v>
      </c>
      <c r="C2640" s="27">
        <v>5.43</v>
      </c>
      <c r="D2640" s="25" t="str">
        <f t="shared" si="82"/>
        <v>201808</v>
      </c>
      <c r="E2640" s="22" t="str">
        <f t="shared" ca="1" si="83"/>
        <v>201802</v>
      </c>
      <c r="F2640" s="22">
        <v>2018</v>
      </c>
    </row>
    <row r="2641" spans="1:6" ht="15.75">
      <c r="A2641" s="22" t="s">
        <v>1442</v>
      </c>
      <c r="B2641" s="23">
        <v>43151</v>
      </c>
      <c r="C2641" s="24">
        <v>42.53</v>
      </c>
      <c r="D2641" s="25" t="str">
        <f t="shared" si="82"/>
        <v>201808</v>
      </c>
      <c r="E2641" s="22" t="str">
        <f t="shared" ca="1" si="83"/>
        <v>201802</v>
      </c>
      <c r="F2641" s="22">
        <v>2018</v>
      </c>
    </row>
    <row r="2642" spans="1:6" ht="15.75">
      <c r="A2642" s="22" t="s">
        <v>1442</v>
      </c>
      <c r="B2642" s="23">
        <v>43151</v>
      </c>
      <c r="C2642" s="24">
        <v>0</v>
      </c>
      <c r="D2642" s="25" t="str">
        <f t="shared" si="82"/>
        <v>201808</v>
      </c>
      <c r="E2642" s="22" t="str">
        <f t="shared" ca="1" si="83"/>
        <v>201802</v>
      </c>
      <c r="F2642" s="22">
        <v>2018</v>
      </c>
    </row>
    <row r="2643" spans="1:6" ht="15.75">
      <c r="A2643" s="22" t="s">
        <v>1441</v>
      </c>
      <c r="B2643" s="26">
        <v>43151</v>
      </c>
      <c r="C2643" s="27">
        <v>0</v>
      </c>
      <c r="D2643" s="25" t="str">
        <f t="shared" si="82"/>
        <v>201808</v>
      </c>
      <c r="E2643" s="22" t="str">
        <f t="shared" ca="1" si="83"/>
        <v>201802</v>
      </c>
      <c r="F2643" s="22">
        <v>2018</v>
      </c>
    </row>
    <row r="2644" spans="1:6" ht="15.75">
      <c r="A2644" s="22" t="s">
        <v>1442</v>
      </c>
      <c r="B2644" s="23">
        <v>43152</v>
      </c>
      <c r="C2644" s="24">
        <v>43.99</v>
      </c>
      <c r="D2644" s="25" t="str">
        <f t="shared" si="82"/>
        <v>201808</v>
      </c>
      <c r="E2644" s="22" t="str">
        <f t="shared" ca="1" si="83"/>
        <v>201802</v>
      </c>
      <c r="F2644" s="22">
        <v>2018</v>
      </c>
    </row>
    <row r="2645" spans="1:6" ht="15.75">
      <c r="A2645" s="22" t="s">
        <v>1442</v>
      </c>
      <c r="B2645" s="23">
        <v>43152</v>
      </c>
      <c r="C2645" s="24">
        <v>0</v>
      </c>
      <c r="D2645" s="25" t="str">
        <f t="shared" si="82"/>
        <v>201808</v>
      </c>
      <c r="E2645" s="22" t="str">
        <f t="shared" ca="1" si="83"/>
        <v>201802</v>
      </c>
      <c r="F2645" s="22">
        <v>2018</v>
      </c>
    </row>
    <row r="2646" spans="1:6" ht="15.75">
      <c r="A2646" s="22" t="s">
        <v>1441</v>
      </c>
      <c r="B2646" s="26">
        <v>43152</v>
      </c>
      <c r="C2646" s="27">
        <v>0</v>
      </c>
      <c r="D2646" s="25" t="str">
        <f t="shared" si="82"/>
        <v>201808</v>
      </c>
      <c r="E2646" s="22" t="str">
        <f t="shared" ca="1" si="83"/>
        <v>201802</v>
      </c>
      <c r="F2646" s="22">
        <v>2018</v>
      </c>
    </row>
    <row r="2647" spans="1:6" ht="15.75">
      <c r="A2647" s="22" t="s">
        <v>1442</v>
      </c>
      <c r="B2647" s="23">
        <v>43153</v>
      </c>
      <c r="C2647" s="24">
        <v>46.64</v>
      </c>
      <c r="D2647" s="25" t="str">
        <f t="shared" si="82"/>
        <v>201808</v>
      </c>
      <c r="E2647" s="22" t="str">
        <f t="shared" ca="1" si="83"/>
        <v>201802</v>
      </c>
      <c r="F2647" s="22">
        <v>2018</v>
      </c>
    </row>
    <row r="2648" spans="1:6" ht="15.75">
      <c r="A2648" s="22" t="s">
        <v>1442</v>
      </c>
      <c r="B2648" s="23">
        <v>43153</v>
      </c>
      <c r="C2648" s="24">
        <v>0</v>
      </c>
      <c r="D2648" s="25" t="str">
        <f t="shared" si="82"/>
        <v>201808</v>
      </c>
      <c r="E2648" s="22" t="str">
        <f t="shared" ca="1" si="83"/>
        <v>201802</v>
      </c>
      <c r="F2648" s="22">
        <v>2018</v>
      </c>
    </row>
    <row r="2649" spans="1:6" ht="15.75">
      <c r="A2649" s="22" t="s">
        <v>1441</v>
      </c>
      <c r="B2649" s="26">
        <v>43153</v>
      </c>
      <c r="C2649" s="27">
        <v>0</v>
      </c>
      <c r="D2649" s="25" t="str">
        <f t="shared" si="82"/>
        <v>201808</v>
      </c>
      <c r="E2649" s="22" t="str">
        <f t="shared" ca="1" si="83"/>
        <v>201802</v>
      </c>
      <c r="F2649" s="22">
        <v>2018</v>
      </c>
    </row>
    <row r="2650" spans="1:6" ht="15.75">
      <c r="A2650" s="22" t="s">
        <v>1442</v>
      </c>
      <c r="B2650" s="23">
        <v>43154</v>
      </c>
      <c r="C2650" s="24">
        <v>58.25</v>
      </c>
      <c r="D2650" s="25" t="str">
        <f t="shared" si="82"/>
        <v>201808</v>
      </c>
      <c r="E2650" s="22" t="str">
        <f t="shared" ca="1" si="83"/>
        <v>201802</v>
      </c>
      <c r="F2650" s="22">
        <v>2018</v>
      </c>
    </row>
    <row r="2651" spans="1:6" ht="15.75">
      <c r="A2651" s="22" t="s">
        <v>1441</v>
      </c>
      <c r="B2651" s="26">
        <v>43154</v>
      </c>
      <c r="C2651" s="27">
        <v>0</v>
      </c>
      <c r="D2651" s="25" t="str">
        <f t="shared" si="82"/>
        <v>201808</v>
      </c>
      <c r="E2651" s="22" t="str">
        <f t="shared" ca="1" si="83"/>
        <v>201802</v>
      </c>
      <c r="F2651" s="22">
        <v>2018</v>
      </c>
    </row>
    <row r="2652" spans="1:6" ht="15.75">
      <c r="A2652" s="22" t="s">
        <v>1442</v>
      </c>
      <c r="B2652" s="23">
        <v>43155</v>
      </c>
      <c r="C2652" s="24">
        <v>53.42</v>
      </c>
      <c r="D2652" s="25" t="str">
        <f t="shared" si="82"/>
        <v>201808</v>
      </c>
      <c r="E2652" s="22" t="str">
        <f t="shared" ca="1" si="83"/>
        <v>201802</v>
      </c>
      <c r="F2652" s="22">
        <v>2018</v>
      </c>
    </row>
    <row r="2653" spans="1:6" ht="15.75">
      <c r="A2653" s="22" t="s">
        <v>1441</v>
      </c>
      <c r="B2653" s="26">
        <v>43155</v>
      </c>
      <c r="C2653" s="27">
        <v>0</v>
      </c>
      <c r="D2653" s="25" t="str">
        <f t="shared" si="82"/>
        <v>201808</v>
      </c>
      <c r="E2653" s="22" t="str">
        <f t="shared" ca="1" si="83"/>
        <v>201802</v>
      </c>
      <c r="F2653" s="22">
        <v>2018</v>
      </c>
    </row>
    <row r="2654" spans="1:6" ht="15.75">
      <c r="A2654" s="22" t="s">
        <v>1442</v>
      </c>
      <c r="B2654" s="23">
        <v>43156</v>
      </c>
      <c r="C2654" s="24">
        <v>107.21</v>
      </c>
      <c r="D2654" s="25" t="str">
        <f t="shared" si="82"/>
        <v>201808</v>
      </c>
      <c r="E2654" s="22" t="str">
        <f t="shared" ca="1" si="83"/>
        <v>201802</v>
      </c>
      <c r="F2654" s="22">
        <v>2018</v>
      </c>
    </row>
    <row r="2655" spans="1:6" ht="15.75">
      <c r="A2655" s="22" t="s">
        <v>1441</v>
      </c>
      <c r="B2655" s="26">
        <v>43156</v>
      </c>
      <c r="C2655" s="27">
        <v>0</v>
      </c>
      <c r="D2655" s="25" t="str">
        <f t="shared" si="82"/>
        <v>201808</v>
      </c>
      <c r="E2655" s="22" t="str">
        <f t="shared" ca="1" si="83"/>
        <v>201802</v>
      </c>
      <c r="F2655" s="22">
        <v>2018</v>
      </c>
    </row>
    <row r="2656" spans="1:6" ht="15.75">
      <c r="A2656" s="22" t="s">
        <v>1442</v>
      </c>
      <c r="B2656" s="23">
        <v>43157</v>
      </c>
      <c r="C2656" s="24">
        <v>53.1</v>
      </c>
      <c r="D2656" s="25" t="str">
        <f t="shared" si="82"/>
        <v>201809</v>
      </c>
      <c r="E2656" s="22" t="str">
        <f t="shared" ca="1" si="83"/>
        <v>201802</v>
      </c>
      <c r="F2656" s="22">
        <v>2018</v>
      </c>
    </row>
    <row r="2657" spans="1:6" ht="15.75">
      <c r="A2657" s="22" t="s">
        <v>1441</v>
      </c>
      <c r="B2657" s="26">
        <v>43157</v>
      </c>
      <c r="C2657" s="27">
        <v>0</v>
      </c>
      <c r="D2657" s="25" t="str">
        <f t="shared" si="82"/>
        <v>201809</v>
      </c>
      <c r="E2657" s="22" t="str">
        <f t="shared" ca="1" si="83"/>
        <v>201802</v>
      </c>
      <c r="F2657" s="22">
        <v>2018</v>
      </c>
    </row>
    <row r="2658" spans="1:6" ht="15.75">
      <c r="A2658" s="22" t="s">
        <v>1442</v>
      </c>
      <c r="B2658" s="23">
        <v>43158</v>
      </c>
      <c r="C2658" s="24">
        <v>65.930000000000007</v>
      </c>
      <c r="D2658" s="25" t="str">
        <f t="shared" si="82"/>
        <v>201809</v>
      </c>
      <c r="E2658" s="22" t="str">
        <f t="shared" ca="1" si="83"/>
        <v>201802</v>
      </c>
      <c r="F2658" s="22">
        <v>2018</v>
      </c>
    </row>
    <row r="2659" spans="1:6" ht="15.75">
      <c r="A2659" s="22" t="s">
        <v>1441</v>
      </c>
      <c r="B2659" s="26">
        <v>43158</v>
      </c>
      <c r="C2659" s="27">
        <v>0</v>
      </c>
      <c r="D2659" s="25" t="str">
        <f t="shared" si="82"/>
        <v>201809</v>
      </c>
      <c r="E2659" s="22" t="str">
        <f t="shared" ca="1" si="83"/>
        <v>201802</v>
      </c>
      <c r="F2659" s="22">
        <v>2018</v>
      </c>
    </row>
    <row r="2660" spans="1:6" ht="15.75">
      <c r="A2660" s="22" t="s">
        <v>1442</v>
      </c>
      <c r="B2660" s="23">
        <v>43159</v>
      </c>
      <c r="C2660" s="24">
        <v>41.9</v>
      </c>
      <c r="D2660" s="25" t="str">
        <f t="shared" si="82"/>
        <v>201809</v>
      </c>
      <c r="E2660" s="22" t="str">
        <f t="shared" ca="1" si="83"/>
        <v>201802</v>
      </c>
      <c r="F2660" s="22">
        <v>2018</v>
      </c>
    </row>
    <row r="2661" spans="1:6" ht="15.75">
      <c r="A2661" s="22" t="s">
        <v>1441</v>
      </c>
      <c r="B2661" s="26">
        <v>43159</v>
      </c>
      <c r="C2661" s="27">
        <v>0</v>
      </c>
      <c r="D2661" s="25" t="str">
        <f t="shared" si="82"/>
        <v>201809</v>
      </c>
      <c r="E2661" s="22" t="str">
        <f t="shared" ca="1" si="83"/>
        <v>201802</v>
      </c>
      <c r="F2661" s="22">
        <v>2018</v>
      </c>
    </row>
    <row r="2662" spans="1:6" ht="15.75">
      <c r="A2662" s="22" t="s">
        <v>1442</v>
      </c>
      <c r="B2662" s="23">
        <v>43160</v>
      </c>
      <c r="C2662" s="24">
        <v>44.44</v>
      </c>
      <c r="D2662" s="25" t="str">
        <f t="shared" si="82"/>
        <v>201809</v>
      </c>
      <c r="E2662" s="22" t="str">
        <f t="shared" ca="1" si="83"/>
        <v>201803</v>
      </c>
      <c r="F2662" s="22">
        <v>2018</v>
      </c>
    </row>
    <row r="2663" spans="1:6" ht="15.75">
      <c r="A2663" s="22" t="s">
        <v>1441</v>
      </c>
      <c r="B2663" s="26">
        <v>43160</v>
      </c>
      <c r="C2663" s="27">
        <v>0</v>
      </c>
      <c r="D2663" s="25" t="str">
        <f t="shared" si="82"/>
        <v>201809</v>
      </c>
      <c r="E2663" s="22" t="str">
        <f t="shared" ca="1" si="83"/>
        <v>201803</v>
      </c>
      <c r="F2663" s="22">
        <v>2018</v>
      </c>
    </row>
    <row r="2664" spans="1:6" ht="15.75">
      <c r="A2664" s="22" t="s">
        <v>1442</v>
      </c>
      <c r="B2664" s="23">
        <v>43161</v>
      </c>
      <c r="C2664" s="24">
        <v>42.7</v>
      </c>
      <c r="D2664" s="25" t="str">
        <f t="shared" si="82"/>
        <v>201809</v>
      </c>
      <c r="E2664" s="22" t="str">
        <f t="shared" ca="1" si="83"/>
        <v>201803</v>
      </c>
      <c r="F2664" s="22">
        <v>2018</v>
      </c>
    </row>
    <row r="2665" spans="1:6" ht="15.75">
      <c r="A2665" s="22" t="s">
        <v>1441</v>
      </c>
      <c r="B2665" s="26">
        <v>43161</v>
      </c>
      <c r="C2665" s="27">
        <v>0</v>
      </c>
      <c r="D2665" s="25" t="str">
        <f t="shared" si="82"/>
        <v>201809</v>
      </c>
      <c r="E2665" s="22" t="str">
        <f t="shared" ca="1" si="83"/>
        <v>201803</v>
      </c>
      <c r="F2665" s="22">
        <v>2018</v>
      </c>
    </row>
    <row r="2666" spans="1:6" ht="15.75">
      <c r="A2666" s="22" t="s">
        <v>1442</v>
      </c>
      <c r="B2666" s="23">
        <v>43162</v>
      </c>
      <c r="C2666" s="24">
        <v>51.13</v>
      </c>
      <c r="D2666" s="25" t="str">
        <f t="shared" si="82"/>
        <v>201809</v>
      </c>
      <c r="E2666" s="22" t="str">
        <f t="shared" ca="1" si="83"/>
        <v>201803</v>
      </c>
      <c r="F2666" s="22">
        <v>2018</v>
      </c>
    </row>
    <row r="2667" spans="1:6" ht="15.75">
      <c r="A2667" s="22" t="s">
        <v>1441</v>
      </c>
      <c r="B2667" s="26">
        <v>43162</v>
      </c>
      <c r="C2667" s="27">
        <v>0</v>
      </c>
      <c r="D2667" s="25" t="str">
        <f t="shared" si="82"/>
        <v>201809</v>
      </c>
      <c r="E2667" s="22" t="str">
        <f t="shared" ca="1" si="83"/>
        <v>201803</v>
      </c>
      <c r="F2667" s="22">
        <v>2018</v>
      </c>
    </row>
    <row r="2668" spans="1:6" ht="15.75">
      <c r="A2668" s="22" t="s">
        <v>1442</v>
      </c>
      <c r="B2668" s="23">
        <v>43163</v>
      </c>
      <c r="C2668" s="24">
        <v>95.55</v>
      </c>
      <c r="D2668" s="25" t="str">
        <f t="shared" si="82"/>
        <v>201809</v>
      </c>
      <c r="E2668" s="22" t="str">
        <f t="shared" ca="1" si="83"/>
        <v>201803</v>
      </c>
      <c r="F2668" s="22">
        <v>2018</v>
      </c>
    </row>
    <row r="2669" spans="1:6" ht="15.75">
      <c r="A2669" s="22" t="s">
        <v>1441</v>
      </c>
      <c r="B2669" s="26">
        <v>43163</v>
      </c>
      <c r="C2669" s="27">
        <v>0</v>
      </c>
      <c r="D2669" s="25" t="str">
        <f t="shared" si="82"/>
        <v>201809</v>
      </c>
      <c r="E2669" s="22" t="str">
        <f t="shared" ca="1" si="83"/>
        <v>201803</v>
      </c>
      <c r="F2669" s="22">
        <v>2018</v>
      </c>
    </row>
    <row r="2670" spans="1:6" ht="15.75">
      <c r="A2670" s="22" t="s">
        <v>1442</v>
      </c>
      <c r="B2670" s="23">
        <v>43164</v>
      </c>
      <c r="C2670" s="24">
        <v>61.32</v>
      </c>
      <c r="D2670" s="25" t="str">
        <f t="shared" si="82"/>
        <v>201810</v>
      </c>
      <c r="E2670" s="22" t="str">
        <f t="shared" ca="1" si="83"/>
        <v>201803</v>
      </c>
      <c r="F2670" s="22">
        <v>2018</v>
      </c>
    </row>
    <row r="2671" spans="1:6" ht="15.75">
      <c r="A2671" s="22" t="s">
        <v>1441</v>
      </c>
      <c r="B2671" s="26">
        <v>43164</v>
      </c>
      <c r="C2671" s="27">
        <v>45.22</v>
      </c>
      <c r="D2671" s="25" t="str">
        <f t="shared" si="82"/>
        <v>201810</v>
      </c>
      <c r="E2671" s="22" t="str">
        <f t="shared" ca="1" si="83"/>
        <v>201803</v>
      </c>
      <c r="F2671" s="22">
        <v>2018</v>
      </c>
    </row>
    <row r="2672" spans="1:6" ht="15.75">
      <c r="A2672" s="22" t="s">
        <v>1442</v>
      </c>
      <c r="B2672" s="23">
        <v>43165</v>
      </c>
      <c r="C2672" s="24">
        <v>38.47</v>
      </c>
      <c r="D2672" s="25" t="str">
        <f t="shared" si="82"/>
        <v>201810</v>
      </c>
      <c r="E2672" s="22" t="str">
        <f t="shared" ca="1" si="83"/>
        <v>201803</v>
      </c>
      <c r="F2672" s="22">
        <v>2018</v>
      </c>
    </row>
    <row r="2673" spans="1:6" ht="15.75">
      <c r="A2673" s="22" t="s">
        <v>1441</v>
      </c>
      <c r="B2673" s="26">
        <v>43165</v>
      </c>
      <c r="C2673" s="27">
        <v>80.45</v>
      </c>
      <c r="D2673" s="25" t="str">
        <f t="shared" si="82"/>
        <v>201810</v>
      </c>
      <c r="E2673" s="22" t="str">
        <f t="shared" ca="1" si="83"/>
        <v>201803</v>
      </c>
      <c r="F2673" s="22">
        <v>2018</v>
      </c>
    </row>
    <row r="2674" spans="1:6" ht="15.75">
      <c r="A2674" s="22" t="s">
        <v>1442</v>
      </c>
      <c r="B2674" s="23">
        <v>43166</v>
      </c>
      <c r="C2674" s="24">
        <v>25.21</v>
      </c>
      <c r="D2674" s="25" t="str">
        <f t="shared" si="82"/>
        <v>201810</v>
      </c>
      <c r="E2674" s="22" t="str">
        <f t="shared" ca="1" si="83"/>
        <v>201803</v>
      </c>
      <c r="F2674" s="22">
        <v>2018</v>
      </c>
    </row>
    <row r="2675" spans="1:6" ht="15.75">
      <c r="A2675" s="22" t="s">
        <v>1441</v>
      </c>
      <c r="B2675" s="26">
        <v>43166</v>
      </c>
      <c r="C2675" s="27">
        <v>79.64</v>
      </c>
      <c r="D2675" s="25" t="str">
        <f t="shared" si="82"/>
        <v>201810</v>
      </c>
      <c r="E2675" s="22" t="str">
        <f t="shared" ca="1" si="83"/>
        <v>201803</v>
      </c>
      <c r="F2675" s="22">
        <v>2018</v>
      </c>
    </row>
    <row r="2676" spans="1:6" ht="15.75">
      <c r="A2676" s="22" t="s">
        <v>1442</v>
      </c>
      <c r="B2676" s="23">
        <v>43167</v>
      </c>
      <c r="C2676" s="24">
        <v>41.89</v>
      </c>
      <c r="D2676" s="25" t="str">
        <f t="shared" si="82"/>
        <v>201810</v>
      </c>
      <c r="E2676" s="22" t="str">
        <f t="shared" ca="1" si="83"/>
        <v>201803</v>
      </c>
      <c r="F2676" s="22">
        <v>2018</v>
      </c>
    </row>
    <row r="2677" spans="1:6" ht="15.75">
      <c r="A2677" s="22" t="s">
        <v>1441</v>
      </c>
      <c r="B2677" s="26">
        <v>43167</v>
      </c>
      <c r="C2677" s="27">
        <v>71.34</v>
      </c>
      <c r="D2677" s="25" t="str">
        <f t="shared" si="82"/>
        <v>201810</v>
      </c>
      <c r="E2677" s="22" t="str">
        <f t="shared" ca="1" si="83"/>
        <v>201803</v>
      </c>
      <c r="F2677" s="22">
        <v>2018</v>
      </c>
    </row>
    <row r="2678" spans="1:6" ht="15.75">
      <c r="A2678" s="22" t="s">
        <v>1442</v>
      </c>
      <c r="B2678" s="23">
        <v>43168</v>
      </c>
      <c r="C2678" s="24">
        <v>37.07</v>
      </c>
      <c r="D2678" s="25" t="str">
        <f t="shared" si="82"/>
        <v>201810</v>
      </c>
      <c r="E2678" s="22" t="str">
        <f t="shared" ca="1" si="83"/>
        <v>201803</v>
      </c>
      <c r="F2678" s="22">
        <v>2018</v>
      </c>
    </row>
    <row r="2679" spans="1:6" ht="15.75">
      <c r="A2679" s="22" t="s">
        <v>1441</v>
      </c>
      <c r="B2679" s="26">
        <v>43168</v>
      </c>
      <c r="C2679" s="27">
        <v>23.35</v>
      </c>
      <c r="D2679" s="25" t="str">
        <f t="shared" si="82"/>
        <v>201810</v>
      </c>
      <c r="E2679" s="22" t="str">
        <f t="shared" ca="1" si="83"/>
        <v>201803</v>
      </c>
      <c r="F2679" s="22">
        <v>2018</v>
      </c>
    </row>
    <row r="2680" spans="1:6" ht="15.75">
      <c r="A2680" s="22" t="s">
        <v>1442</v>
      </c>
      <c r="B2680" s="23">
        <v>43169</v>
      </c>
      <c r="C2680" s="24">
        <v>34.89</v>
      </c>
      <c r="D2680" s="25" t="str">
        <f t="shared" si="82"/>
        <v>201810</v>
      </c>
      <c r="E2680" s="22" t="str">
        <f t="shared" ca="1" si="83"/>
        <v>201803</v>
      </c>
      <c r="F2680" s="22">
        <v>2018</v>
      </c>
    </row>
    <row r="2681" spans="1:6" ht="15.75">
      <c r="A2681" s="22" t="s">
        <v>1441</v>
      </c>
      <c r="B2681" s="26">
        <v>43169</v>
      </c>
      <c r="C2681" s="27">
        <v>0</v>
      </c>
      <c r="D2681" s="25" t="str">
        <f t="shared" si="82"/>
        <v>201810</v>
      </c>
      <c r="E2681" s="22" t="str">
        <f t="shared" ca="1" si="83"/>
        <v>201803</v>
      </c>
      <c r="F2681" s="22">
        <v>2018</v>
      </c>
    </row>
    <row r="2682" spans="1:6" ht="15.75">
      <c r="A2682" s="22" t="s">
        <v>1442</v>
      </c>
      <c r="B2682" s="23">
        <v>43170</v>
      </c>
      <c r="C2682" s="24">
        <v>62.74</v>
      </c>
      <c r="D2682" s="25" t="str">
        <f t="shared" si="82"/>
        <v>201810</v>
      </c>
      <c r="E2682" s="22" t="str">
        <f t="shared" ca="1" si="83"/>
        <v>201803</v>
      </c>
      <c r="F2682" s="22">
        <v>2018</v>
      </c>
    </row>
    <row r="2683" spans="1:6" ht="15.75">
      <c r="A2683" s="22" t="s">
        <v>1441</v>
      </c>
      <c r="B2683" s="26">
        <v>43170</v>
      </c>
      <c r="C2683" s="27">
        <v>0</v>
      </c>
      <c r="D2683" s="25" t="str">
        <f t="shared" si="82"/>
        <v>201810</v>
      </c>
      <c r="E2683" s="22" t="str">
        <f t="shared" ca="1" si="83"/>
        <v>201803</v>
      </c>
      <c r="F2683" s="22">
        <v>2018</v>
      </c>
    </row>
    <row r="2684" spans="1:6" ht="15.75">
      <c r="A2684" s="22" t="s">
        <v>1442</v>
      </c>
      <c r="B2684" s="23">
        <v>43171</v>
      </c>
      <c r="C2684" s="24">
        <v>46.74</v>
      </c>
      <c r="D2684" s="25" t="str">
        <f t="shared" si="82"/>
        <v>201811</v>
      </c>
      <c r="E2684" s="22" t="str">
        <f t="shared" ca="1" si="83"/>
        <v>201803</v>
      </c>
      <c r="F2684" s="22">
        <v>2018</v>
      </c>
    </row>
    <row r="2685" spans="1:6" ht="15.75">
      <c r="A2685" s="22" t="s">
        <v>1441</v>
      </c>
      <c r="B2685" s="26">
        <v>43171</v>
      </c>
      <c r="C2685" s="27">
        <v>0</v>
      </c>
      <c r="D2685" s="25" t="str">
        <f t="shared" si="82"/>
        <v>201811</v>
      </c>
      <c r="E2685" s="22" t="str">
        <f t="shared" ca="1" si="83"/>
        <v>201803</v>
      </c>
      <c r="F2685" s="22">
        <v>2018</v>
      </c>
    </row>
    <row r="2686" spans="1:6" ht="15.75">
      <c r="A2686" s="22" t="s">
        <v>1442</v>
      </c>
      <c r="B2686" s="23">
        <v>43172</v>
      </c>
      <c r="C2686" s="24">
        <v>36.79</v>
      </c>
      <c r="D2686" s="25" t="str">
        <f t="shared" si="82"/>
        <v>201811</v>
      </c>
      <c r="E2686" s="22" t="str">
        <f t="shared" ca="1" si="83"/>
        <v>201803</v>
      </c>
      <c r="F2686" s="22">
        <v>2018</v>
      </c>
    </row>
    <row r="2687" spans="1:6" ht="15.75">
      <c r="A2687" s="22" t="s">
        <v>1441</v>
      </c>
      <c r="B2687" s="26">
        <v>43172</v>
      </c>
      <c r="C2687" s="27">
        <v>0</v>
      </c>
      <c r="D2687" s="25" t="str">
        <f t="shared" si="82"/>
        <v>201811</v>
      </c>
      <c r="E2687" s="22" t="str">
        <f t="shared" ca="1" si="83"/>
        <v>201803</v>
      </c>
      <c r="F2687" s="22">
        <v>2018</v>
      </c>
    </row>
    <row r="2688" spans="1:6" ht="15.75">
      <c r="A2688" s="22" t="s">
        <v>1442</v>
      </c>
      <c r="B2688" s="23">
        <v>43173</v>
      </c>
      <c r="C2688" s="24">
        <v>34.57</v>
      </c>
      <c r="D2688" s="25" t="str">
        <f t="shared" si="82"/>
        <v>201811</v>
      </c>
      <c r="E2688" s="22" t="str">
        <f t="shared" ca="1" si="83"/>
        <v>201803</v>
      </c>
      <c r="F2688" s="22">
        <v>2018</v>
      </c>
    </row>
    <row r="2689" spans="1:6" ht="15.75">
      <c r="A2689" s="22" t="s">
        <v>1441</v>
      </c>
      <c r="B2689" s="26">
        <v>43173</v>
      </c>
      <c r="C2689" s="27">
        <v>0</v>
      </c>
      <c r="D2689" s="25" t="str">
        <f t="shared" si="82"/>
        <v>201811</v>
      </c>
      <c r="E2689" s="22" t="str">
        <f t="shared" ca="1" si="83"/>
        <v>201803</v>
      </c>
      <c r="F2689" s="22">
        <v>2018</v>
      </c>
    </row>
    <row r="2690" spans="1:6" ht="15.75">
      <c r="A2690" s="22" t="s">
        <v>1442</v>
      </c>
      <c r="B2690" s="23">
        <v>43174</v>
      </c>
      <c r="C2690" s="24">
        <v>33</v>
      </c>
      <c r="D2690" s="25" t="str">
        <f t="shared" si="82"/>
        <v>201811</v>
      </c>
      <c r="E2690" s="22" t="str">
        <f t="shared" ca="1" si="83"/>
        <v>201803</v>
      </c>
      <c r="F2690" s="22">
        <v>2018</v>
      </c>
    </row>
    <row r="2691" spans="1:6" ht="15.75">
      <c r="A2691" s="22" t="s">
        <v>1441</v>
      </c>
      <c r="B2691" s="26">
        <v>43174</v>
      </c>
      <c r="C2691" s="27">
        <v>0</v>
      </c>
      <c r="D2691" s="25" t="str">
        <f t="shared" ref="D2691:D2754" si="84">CONCATENATE(YEAR(B2691-WEEKDAY(B2691,3)+3),TEXT(WEEKNUM(B2691,21),"00"))</f>
        <v>201811</v>
      </c>
      <c r="E2691" s="22" t="str">
        <f t="shared" ref="E2691:E2754" ca="1" si="85">IF(
  AND(
    YEAR(B2691)=YEAR(TODAY())-1,
    MONTH(B2691)=MONTH(TODAY()),
    DAY(B2691)&gt;DAY($H$2)
  ),
  0,
  CONCATENATE(YEAR(B2691),TEXT(MONTH(B2691),"00"))
)</f>
        <v>201803</v>
      </c>
      <c r="F2691" s="22">
        <v>2018</v>
      </c>
    </row>
    <row r="2692" spans="1:6" ht="15.75">
      <c r="A2692" s="22" t="s">
        <v>1442</v>
      </c>
      <c r="B2692" s="23">
        <v>43175</v>
      </c>
      <c r="C2692" s="24">
        <v>30.47</v>
      </c>
      <c r="D2692" s="25" t="str">
        <f t="shared" si="84"/>
        <v>201811</v>
      </c>
      <c r="E2692" s="22" t="str">
        <f t="shared" ca="1" si="85"/>
        <v>201803</v>
      </c>
      <c r="F2692" s="22">
        <v>2018</v>
      </c>
    </row>
    <row r="2693" spans="1:6" ht="15.75">
      <c r="A2693" s="22" t="s">
        <v>1441</v>
      </c>
      <c r="B2693" s="26">
        <v>43175</v>
      </c>
      <c r="C2693" s="27">
        <v>0</v>
      </c>
      <c r="D2693" s="25" t="str">
        <f t="shared" si="84"/>
        <v>201811</v>
      </c>
      <c r="E2693" s="22" t="str">
        <f t="shared" ca="1" si="85"/>
        <v>201803</v>
      </c>
      <c r="F2693" s="22">
        <v>2018</v>
      </c>
    </row>
    <row r="2694" spans="1:6" ht="15.75">
      <c r="A2694" s="22" t="s">
        <v>1442</v>
      </c>
      <c r="B2694" s="23">
        <v>43176</v>
      </c>
      <c r="C2694" s="24">
        <v>39.200000000000003</v>
      </c>
      <c r="D2694" s="25" t="str">
        <f t="shared" si="84"/>
        <v>201811</v>
      </c>
      <c r="E2694" s="22" t="str">
        <f t="shared" ca="1" si="85"/>
        <v>201803</v>
      </c>
      <c r="F2694" s="22">
        <v>2018</v>
      </c>
    </row>
    <row r="2695" spans="1:6" ht="15.75">
      <c r="A2695" s="22" t="s">
        <v>1441</v>
      </c>
      <c r="B2695" s="26">
        <v>43176</v>
      </c>
      <c r="C2695" s="27">
        <v>0</v>
      </c>
      <c r="D2695" s="25" t="str">
        <f t="shared" si="84"/>
        <v>201811</v>
      </c>
      <c r="E2695" s="22" t="str">
        <f t="shared" ca="1" si="85"/>
        <v>201803</v>
      </c>
      <c r="F2695" s="22">
        <v>2018</v>
      </c>
    </row>
    <row r="2696" spans="1:6" ht="15.75">
      <c r="A2696" s="22" t="s">
        <v>1442</v>
      </c>
      <c r="B2696" s="23">
        <v>43177</v>
      </c>
      <c r="C2696" s="24">
        <v>54.18</v>
      </c>
      <c r="D2696" s="25" t="str">
        <f t="shared" si="84"/>
        <v>201811</v>
      </c>
      <c r="E2696" s="22" t="str">
        <f t="shared" ca="1" si="85"/>
        <v>201803</v>
      </c>
      <c r="F2696" s="22">
        <v>2018</v>
      </c>
    </row>
    <row r="2697" spans="1:6" ht="15.75">
      <c r="A2697" s="22" t="s">
        <v>1441</v>
      </c>
      <c r="B2697" s="26">
        <v>43177</v>
      </c>
      <c r="C2697" s="27">
        <v>0</v>
      </c>
      <c r="D2697" s="25" t="str">
        <f t="shared" si="84"/>
        <v>201811</v>
      </c>
      <c r="E2697" s="22" t="str">
        <f t="shared" ca="1" si="85"/>
        <v>201803</v>
      </c>
      <c r="F2697" s="22">
        <v>2018</v>
      </c>
    </row>
    <row r="2698" spans="1:6" ht="15.75">
      <c r="A2698" s="22" t="s">
        <v>1442</v>
      </c>
      <c r="B2698" s="23">
        <v>43178</v>
      </c>
      <c r="C2698" s="24">
        <v>34.659999999999997</v>
      </c>
      <c r="D2698" s="25" t="str">
        <f t="shared" si="84"/>
        <v>201812</v>
      </c>
      <c r="E2698" s="22" t="str">
        <f t="shared" ca="1" si="85"/>
        <v>201803</v>
      </c>
      <c r="F2698" s="22">
        <v>2018</v>
      </c>
    </row>
    <row r="2699" spans="1:6" ht="15.75">
      <c r="A2699" s="22" t="s">
        <v>1441</v>
      </c>
      <c r="B2699" s="26">
        <v>43178</v>
      </c>
      <c r="C2699" s="27">
        <v>0</v>
      </c>
      <c r="D2699" s="25" t="str">
        <f t="shared" si="84"/>
        <v>201812</v>
      </c>
      <c r="E2699" s="22" t="str">
        <f t="shared" ca="1" si="85"/>
        <v>201803</v>
      </c>
      <c r="F2699" s="22">
        <v>2018</v>
      </c>
    </row>
    <row r="2700" spans="1:6" ht="15.75">
      <c r="A2700" s="22" t="s">
        <v>1442</v>
      </c>
      <c r="B2700" s="23">
        <v>43179</v>
      </c>
      <c r="C2700" s="24">
        <v>35.81</v>
      </c>
      <c r="D2700" s="25" t="str">
        <f t="shared" si="84"/>
        <v>201812</v>
      </c>
      <c r="E2700" s="22" t="str">
        <f t="shared" ca="1" si="85"/>
        <v>201803</v>
      </c>
      <c r="F2700" s="22">
        <v>2018</v>
      </c>
    </row>
    <row r="2701" spans="1:6" ht="15.75">
      <c r="A2701" s="22" t="s">
        <v>1441</v>
      </c>
      <c r="B2701" s="26">
        <v>43179</v>
      </c>
      <c r="C2701" s="27">
        <v>0</v>
      </c>
      <c r="D2701" s="25" t="str">
        <f t="shared" si="84"/>
        <v>201812</v>
      </c>
      <c r="E2701" s="22" t="str">
        <f t="shared" ca="1" si="85"/>
        <v>201803</v>
      </c>
      <c r="F2701" s="22">
        <v>2018</v>
      </c>
    </row>
    <row r="2702" spans="1:6" ht="15.75">
      <c r="A2702" s="22" t="s">
        <v>1442</v>
      </c>
      <c r="B2702" s="23">
        <v>43180</v>
      </c>
      <c r="C2702" s="24">
        <v>48.62</v>
      </c>
      <c r="D2702" s="25" t="str">
        <f t="shared" si="84"/>
        <v>201812</v>
      </c>
      <c r="E2702" s="22" t="str">
        <f t="shared" ca="1" si="85"/>
        <v>201803</v>
      </c>
      <c r="F2702" s="22">
        <v>2018</v>
      </c>
    </row>
    <row r="2703" spans="1:6" ht="15.75">
      <c r="A2703" s="22" t="s">
        <v>1441</v>
      </c>
      <c r="B2703" s="26">
        <v>43180</v>
      </c>
      <c r="C2703" s="27">
        <v>5.09</v>
      </c>
      <c r="D2703" s="25" t="str">
        <f t="shared" si="84"/>
        <v>201812</v>
      </c>
      <c r="E2703" s="22" t="str">
        <f t="shared" ca="1" si="85"/>
        <v>201803</v>
      </c>
      <c r="F2703" s="22">
        <v>2018</v>
      </c>
    </row>
    <row r="2704" spans="1:6" ht="15.75">
      <c r="A2704" s="22" t="s">
        <v>1442</v>
      </c>
      <c r="B2704" s="23">
        <v>43181</v>
      </c>
      <c r="C2704" s="24">
        <v>23.85</v>
      </c>
      <c r="D2704" s="25" t="str">
        <f t="shared" si="84"/>
        <v>201812</v>
      </c>
      <c r="E2704" s="22" t="str">
        <f t="shared" ca="1" si="85"/>
        <v>201803</v>
      </c>
      <c r="F2704" s="22">
        <v>2018</v>
      </c>
    </row>
    <row r="2705" spans="1:6" ht="15.75">
      <c r="A2705" s="22" t="s">
        <v>1441</v>
      </c>
      <c r="B2705" s="26">
        <v>43181</v>
      </c>
      <c r="C2705" s="27">
        <v>55.29</v>
      </c>
      <c r="D2705" s="25" t="str">
        <f t="shared" si="84"/>
        <v>201812</v>
      </c>
      <c r="E2705" s="22" t="str">
        <f t="shared" ca="1" si="85"/>
        <v>201803</v>
      </c>
      <c r="F2705" s="22">
        <v>2018</v>
      </c>
    </row>
    <row r="2706" spans="1:6" ht="15.75">
      <c r="A2706" s="22" t="s">
        <v>1442</v>
      </c>
      <c r="B2706" s="23">
        <v>43182</v>
      </c>
      <c r="C2706" s="24">
        <v>20.82</v>
      </c>
      <c r="D2706" s="25" t="str">
        <f t="shared" si="84"/>
        <v>201812</v>
      </c>
      <c r="E2706" s="22" t="str">
        <f t="shared" ca="1" si="85"/>
        <v>201803</v>
      </c>
      <c r="F2706" s="22">
        <v>2018</v>
      </c>
    </row>
    <row r="2707" spans="1:6" ht="15.75">
      <c r="A2707" s="22" t="s">
        <v>1441</v>
      </c>
      <c r="B2707" s="26">
        <v>43182</v>
      </c>
      <c r="C2707" s="27">
        <v>68.52</v>
      </c>
      <c r="D2707" s="25" t="str">
        <f t="shared" si="84"/>
        <v>201812</v>
      </c>
      <c r="E2707" s="22" t="str">
        <f t="shared" ca="1" si="85"/>
        <v>201803</v>
      </c>
      <c r="F2707" s="22">
        <v>2018</v>
      </c>
    </row>
    <row r="2708" spans="1:6" ht="15.75">
      <c r="A2708" s="22" t="s">
        <v>1442</v>
      </c>
      <c r="B2708" s="23">
        <v>43183</v>
      </c>
      <c r="C2708" s="24">
        <v>29.83</v>
      </c>
      <c r="D2708" s="25" t="str">
        <f t="shared" si="84"/>
        <v>201812</v>
      </c>
      <c r="E2708" s="22" t="str">
        <f t="shared" ca="1" si="85"/>
        <v>201803</v>
      </c>
      <c r="F2708" s="22">
        <v>2018</v>
      </c>
    </row>
    <row r="2709" spans="1:6" ht="15.75">
      <c r="A2709" s="22" t="s">
        <v>1441</v>
      </c>
      <c r="B2709" s="26">
        <v>43183</v>
      </c>
      <c r="C2709" s="27">
        <v>55.37</v>
      </c>
      <c r="D2709" s="25" t="str">
        <f t="shared" si="84"/>
        <v>201812</v>
      </c>
      <c r="E2709" s="22" t="str">
        <f t="shared" ca="1" si="85"/>
        <v>201803</v>
      </c>
      <c r="F2709" s="22">
        <v>2018</v>
      </c>
    </row>
    <row r="2710" spans="1:6" ht="15.75">
      <c r="A2710" s="22" t="s">
        <v>1442</v>
      </c>
      <c r="B2710" s="23">
        <v>43184</v>
      </c>
      <c r="C2710" s="24">
        <v>63.87</v>
      </c>
      <c r="D2710" s="25" t="str">
        <f t="shared" si="84"/>
        <v>201812</v>
      </c>
      <c r="E2710" s="22" t="str">
        <f t="shared" ca="1" si="85"/>
        <v>201803</v>
      </c>
      <c r="F2710" s="22">
        <v>2018</v>
      </c>
    </row>
    <row r="2711" spans="1:6" ht="15.75">
      <c r="A2711" s="22" t="s">
        <v>1441</v>
      </c>
      <c r="B2711" s="26">
        <v>43184</v>
      </c>
      <c r="C2711" s="27">
        <v>53.08</v>
      </c>
      <c r="D2711" s="25" t="str">
        <f t="shared" si="84"/>
        <v>201812</v>
      </c>
      <c r="E2711" s="22" t="str">
        <f t="shared" ca="1" si="85"/>
        <v>201803</v>
      </c>
      <c r="F2711" s="22">
        <v>2018</v>
      </c>
    </row>
    <row r="2712" spans="1:6" ht="15.75">
      <c r="A2712" s="22" t="s">
        <v>1442</v>
      </c>
      <c r="B2712" s="23">
        <v>43185</v>
      </c>
      <c r="C2712" s="24">
        <v>49.88</v>
      </c>
      <c r="D2712" s="25" t="str">
        <f t="shared" si="84"/>
        <v>201813</v>
      </c>
      <c r="E2712" s="22" t="str">
        <f t="shared" ca="1" si="85"/>
        <v>201803</v>
      </c>
      <c r="F2712" s="22">
        <v>2018</v>
      </c>
    </row>
    <row r="2713" spans="1:6" ht="15.75">
      <c r="A2713" s="22" t="s">
        <v>1441</v>
      </c>
      <c r="B2713" s="26">
        <v>43185</v>
      </c>
      <c r="C2713" s="27">
        <v>12.64</v>
      </c>
      <c r="D2713" s="25" t="str">
        <f t="shared" si="84"/>
        <v>201813</v>
      </c>
      <c r="E2713" s="22" t="str">
        <f t="shared" ca="1" si="85"/>
        <v>201803</v>
      </c>
      <c r="F2713" s="22">
        <v>2018</v>
      </c>
    </row>
    <row r="2714" spans="1:6" ht="15.75">
      <c r="A2714" s="22" t="s">
        <v>1442</v>
      </c>
      <c r="B2714" s="23">
        <v>43186</v>
      </c>
      <c r="C2714" s="24">
        <v>66.849999999999994</v>
      </c>
      <c r="D2714" s="25" t="str">
        <f t="shared" si="84"/>
        <v>201813</v>
      </c>
      <c r="E2714" s="22" t="str">
        <f t="shared" ca="1" si="85"/>
        <v>201803</v>
      </c>
      <c r="F2714" s="22">
        <v>2018</v>
      </c>
    </row>
    <row r="2715" spans="1:6" ht="15.75">
      <c r="A2715" s="22" t="s">
        <v>1441</v>
      </c>
      <c r="B2715" s="26">
        <v>43186</v>
      </c>
      <c r="C2715" s="27">
        <v>0</v>
      </c>
      <c r="D2715" s="25" t="str">
        <f t="shared" si="84"/>
        <v>201813</v>
      </c>
      <c r="E2715" s="22" t="str">
        <f t="shared" ca="1" si="85"/>
        <v>201803</v>
      </c>
      <c r="F2715" s="22">
        <v>2018</v>
      </c>
    </row>
    <row r="2716" spans="1:6" ht="15.75">
      <c r="A2716" s="22" t="s">
        <v>1442</v>
      </c>
      <c r="B2716" s="23">
        <v>43187</v>
      </c>
      <c r="C2716" s="24">
        <v>45.39</v>
      </c>
      <c r="D2716" s="25" t="str">
        <f t="shared" si="84"/>
        <v>201813</v>
      </c>
      <c r="E2716" s="22" t="str">
        <f t="shared" ca="1" si="85"/>
        <v>201803</v>
      </c>
      <c r="F2716" s="22">
        <v>2018</v>
      </c>
    </row>
    <row r="2717" spans="1:6" ht="15.75">
      <c r="A2717" s="22" t="s">
        <v>1441</v>
      </c>
      <c r="B2717" s="26">
        <v>43187</v>
      </c>
      <c r="C2717" s="27">
        <v>0</v>
      </c>
      <c r="D2717" s="25" t="str">
        <f t="shared" si="84"/>
        <v>201813</v>
      </c>
      <c r="E2717" s="22" t="str">
        <f t="shared" ca="1" si="85"/>
        <v>201803</v>
      </c>
      <c r="F2717" s="22">
        <v>2018</v>
      </c>
    </row>
    <row r="2718" spans="1:6" ht="15.75">
      <c r="A2718" s="22" t="s">
        <v>1442</v>
      </c>
      <c r="B2718" s="23">
        <v>43188</v>
      </c>
      <c r="C2718" s="24">
        <v>47.13</v>
      </c>
      <c r="D2718" s="25" t="str">
        <f t="shared" si="84"/>
        <v>201813</v>
      </c>
      <c r="E2718" s="22" t="str">
        <f t="shared" ca="1" si="85"/>
        <v>201803</v>
      </c>
      <c r="F2718" s="22">
        <v>2018</v>
      </c>
    </row>
    <row r="2719" spans="1:6" ht="15.75">
      <c r="A2719" s="22" t="s">
        <v>1441</v>
      </c>
      <c r="B2719" s="26">
        <v>43188</v>
      </c>
      <c r="C2719" s="27">
        <v>0</v>
      </c>
      <c r="D2719" s="25" t="str">
        <f t="shared" si="84"/>
        <v>201813</v>
      </c>
      <c r="E2719" s="22" t="str">
        <f t="shared" ca="1" si="85"/>
        <v>201803</v>
      </c>
      <c r="F2719" s="22">
        <v>2018</v>
      </c>
    </row>
    <row r="2720" spans="1:6" ht="15.75">
      <c r="A2720" s="22" t="s">
        <v>1442</v>
      </c>
      <c r="B2720" s="23">
        <v>43189</v>
      </c>
      <c r="C2720" s="24">
        <v>67.489999999999995</v>
      </c>
      <c r="D2720" s="25" t="str">
        <f t="shared" si="84"/>
        <v>201813</v>
      </c>
      <c r="E2720" s="22" t="str">
        <f t="shared" ca="1" si="85"/>
        <v>201803</v>
      </c>
      <c r="F2720" s="22">
        <v>2018</v>
      </c>
    </row>
    <row r="2721" spans="1:6" ht="15.75">
      <c r="A2721" s="22" t="s">
        <v>1441</v>
      </c>
      <c r="B2721" s="26">
        <v>43189</v>
      </c>
      <c r="C2721" s="27">
        <v>0</v>
      </c>
      <c r="D2721" s="25" t="str">
        <f t="shared" si="84"/>
        <v>201813</v>
      </c>
      <c r="E2721" s="22" t="str">
        <f t="shared" ca="1" si="85"/>
        <v>201803</v>
      </c>
      <c r="F2721" s="22">
        <v>2018</v>
      </c>
    </row>
    <row r="2722" spans="1:6" ht="15.75">
      <c r="A2722" s="22" t="s">
        <v>1442</v>
      </c>
      <c r="B2722" s="23">
        <v>43190</v>
      </c>
      <c r="C2722" s="24">
        <v>66.260000000000005</v>
      </c>
      <c r="D2722" s="25" t="str">
        <f t="shared" si="84"/>
        <v>201813</v>
      </c>
      <c r="E2722" s="22" t="str">
        <f t="shared" ca="1" si="85"/>
        <v>201803</v>
      </c>
      <c r="F2722" s="22">
        <v>2018</v>
      </c>
    </row>
    <row r="2723" spans="1:6" ht="15.75">
      <c r="A2723" s="22" t="s">
        <v>1441</v>
      </c>
      <c r="B2723" s="26">
        <v>43190</v>
      </c>
      <c r="C2723" s="27">
        <v>0</v>
      </c>
      <c r="D2723" s="25" t="str">
        <f t="shared" si="84"/>
        <v>201813</v>
      </c>
      <c r="E2723" s="22" t="str">
        <f t="shared" ca="1" si="85"/>
        <v>201803</v>
      </c>
      <c r="F2723" s="22">
        <v>2018</v>
      </c>
    </row>
    <row r="2724" spans="1:6" ht="15.75">
      <c r="A2724" s="22" t="s">
        <v>1442</v>
      </c>
      <c r="B2724" s="23">
        <v>43191</v>
      </c>
      <c r="C2724" s="24">
        <v>78.22</v>
      </c>
      <c r="D2724" s="25" t="str">
        <f t="shared" si="84"/>
        <v>201813</v>
      </c>
      <c r="E2724" s="22" t="str">
        <f t="shared" ca="1" si="85"/>
        <v>201804</v>
      </c>
      <c r="F2724" s="22">
        <v>2018</v>
      </c>
    </row>
    <row r="2725" spans="1:6" ht="15.75">
      <c r="A2725" s="22" t="s">
        <v>1441</v>
      </c>
      <c r="B2725" s="26">
        <v>43191</v>
      </c>
      <c r="C2725" s="27">
        <v>0</v>
      </c>
      <c r="D2725" s="25" t="str">
        <f t="shared" si="84"/>
        <v>201813</v>
      </c>
      <c r="E2725" s="22" t="str">
        <f t="shared" ca="1" si="85"/>
        <v>201804</v>
      </c>
      <c r="F2725" s="22">
        <v>2018</v>
      </c>
    </row>
    <row r="2726" spans="1:6" ht="15.75">
      <c r="A2726" s="22" t="s">
        <v>1442</v>
      </c>
      <c r="B2726" s="23">
        <v>43192</v>
      </c>
      <c r="C2726" s="24">
        <v>109.57</v>
      </c>
      <c r="D2726" s="25" t="str">
        <f t="shared" si="84"/>
        <v>201814</v>
      </c>
      <c r="E2726" s="22" t="str">
        <f t="shared" ca="1" si="85"/>
        <v>201804</v>
      </c>
      <c r="F2726" s="22">
        <v>2018</v>
      </c>
    </row>
    <row r="2727" spans="1:6" ht="15.75">
      <c r="A2727" s="22" t="s">
        <v>1441</v>
      </c>
      <c r="B2727" s="26">
        <v>43192</v>
      </c>
      <c r="C2727" s="27">
        <v>0</v>
      </c>
      <c r="D2727" s="25" t="str">
        <f t="shared" si="84"/>
        <v>201814</v>
      </c>
      <c r="E2727" s="22" t="str">
        <f t="shared" ca="1" si="85"/>
        <v>201804</v>
      </c>
      <c r="F2727" s="22">
        <v>2018</v>
      </c>
    </row>
    <row r="2728" spans="1:6" ht="15.75">
      <c r="A2728" s="22" t="s">
        <v>1442</v>
      </c>
      <c r="B2728" s="23">
        <v>43193</v>
      </c>
      <c r="C2728" s="24">
        <v>64.75</v>
      </c>
      <c r="D2728" s="25" t="str">
        <f t="shared" si="84"/>
        <v>201814</v>
      </c>
      <c r="E2728" s="22" t="str">
        <f t="shared" ca="1" si="85"/>
        <v>201804</v>
      </c>
      <c r="F2728" s="22">
        <v>2018</v>
      </c>
    </row>
    <row r="2729" spans="1:6" ht="15.75">
      <c r="A2729" s="22" t="s">
        <v>1441</v>
      </c>
      <c r="B2729" s="26">
        <v>43193</v>
      </c>
      <c r="C2729" s="27">
        <v>0</v>
      </c>
      <c r="D2729" s="25" t="str">
        <f t="shared" si="84"/>
        <v>201814</v>
      </c>
      <c r="E2729" s="22" t="str">
        <f t="shared" ca="1" si="85"/>
        <v>201804</v>
      </c>
      <c r="F2729" s="22">
        <v>2018</v>
      </c>
    </row>
    <row r="2730" spans="1:6" ht="15.75">
      <c r="A2730" s="22" t="s">
        <v>1442</v>
      </c>
      <c r="B2730" s="23">
        <v>43194</v>
      </c>
      <c r="C2730" s="24">
        <v>75.08</v>
      </c>
      <c r="D2730" s="25" t="str">
        <f t="shared" si="84"/>
        <v>201814</v>
      </c>
      <c r="E2730" s="22" t="str">
        <f t="shared" ca="1" si="85"/>
        <v>201804</v>
      </c>
      <c r="F2730" s="22">
        <v>2018</v>
      </c>
    </row>
    <row r="2731" spans="1:6" ht="15.75">
      <c r="A2731" s="22" t="s">
        <v>1441</v>
      </c>
      <c r="B2731" s="26">
        <v>43194</v>
      </c>
      <c r="C2731" s="27">
        <v>0</v>
      </c>
      <c r="D2731" s="25" t="str">
        <f t="shared" si="84"/>
        <v>201814</v>
      </c>
      <c r="E2731" s="22" t="str">
        <f t="shared" ca="1" si="85"/>
        <v>201804</v>
      </c>
      <c r="F2731" s="22">
        <v>2018</v>
      </c>
    </row>
    <row r="2732" spans="1:6" ht="15.75">
      <c r="A2732" s="22" t="s">
        <v>1442</v>
      </c>
      <c r="B2732" s="23">
        <v>43195</v>
      </c>
      <c r="C2732" s="24">
        <v>50.04</v>
      </c>
      <c r="D2732" s="25" t="str">
        <f t="shared" si="84"/>
        <v>201814</v>
      </c>
      <c r="E2732" s="22" t="str">
        <f t="shared" ca="1" si="85"/>
        <v>201804</v>
      </c>
      <c r="F2732" s="22">
        <v>2018</v>
      </c>
    </row>
    <row r="2733" spans="1:6" ht="15.75">
      <c r="A2733" s="22" t="s">
        <v>1441</v>
      </c>
      <c r="B2733" s="26">
        <v>43195</v>
      </c>
      <c r="C2733" s="27">
        <v>0</v>
      </c>
      <c r="D2733" s="25" t="str">
        <f t="shared" si="84"/>
        <v>201814</v>
      </c>
      <c r="E2733" s="22" t="str">
        <f t="shared" ca="1" si="85"/>
        <v>201804</v>
      </c>
      <c r="F2733" s="22">
        <v>2018</v>
      </c>
    </row>
    <row r="2734" spans="1:6" ht="15.75">
      <c r="A2734" s="22" t="s">
        <v>1442</v>
      </c>
      <c r="B2734" s="23">
        <v>43196</v>
      </c>
      <c r="C2734" s="24">
        <v>37.659999999999997</v>
      </c>
      <c r="D2734" s="25" t="str">
        <f t="shared" si="84"/>
        <v>201814</v>
      </c>
      <c r="E2734" s="22" t="str">
        <f t="shared" ca="1" si="85"/>
        <v>201804</v>
      </c>
      <c r="F2734" s="22">
        <v>2018</v>
      </c>
    </row>
    <row r="2735" spans="1:6" ht="15.75">
      <c r="A2735" s="22" t="s">
        <v>1441</v>
      </c>
      <c r="B2735" s="26">
        <v>43196</v>
      </c>
      <c r="C2735" s="27">
        <v>0</v>
      </c>
      <c r="D2735" s="25" t="str">
        <f t="shared" si="84"/>
        <v>201814</v>
      </c>
      <c r="E2735" s="22" t="str">
        <f t="shared" ca="1" si="85"/>
        <v>201804</v>
      </c>
      <c r="F2735" s="22">
        <v>2018</v>
      </c>
    </row>
    <row r="2736" spans="1:6" ht="15.75">
      <c r="A2736" s="22" t="s">
        <v>1442</v>
      </c>
      <c r="B2736" s="23">
        <v>43197</v>
      </c>
      <c r="C2736" s="24">
        <v>47.55</v>
      </c>
      <c r="D2736" s="25" t="str">
        <f t="shared" si="84"/>
        <v>201814</v>
      </c>
      <c r="E2736" s="22" t="str">
        <f t="shared" ca="1" si="85"/>
        <v>201804</v>
      </c>
      <c r="F2736" s="22">
        <v>2018</v>
      </c>
    </row>
    <row r="2737" spans="1:6" ht="15.75">
      <c r="A2737" s="22" t="s">
        <v>1441</v>
      </c>
      <c r="B2737" s="26">
        <v>43197</v>
      </c>
      <c r="C2737" s="27">
        <v>0</v>
      </c>
      <c r="D2737" s="25" t="str">
        <f t="shared" si="84"/>
        <v>201814</v>
      </c>
      <c r="E2737" s="22" t="str">
        <f t="shared" ca="1" si="85"/>
        <v>201804</v>
      </c>
      <c r="F2737" s="22">
        <v>2018</v>
      </c>
    </row>
    <row r="2738" spans="1:6" ht="15.75">
      <c r="A2738" s="22" t="s">
        <v>1442</v>
      </c>
      <c r="B2738" s="23">
        <v>43198</v>
      </c>
      <c r="C2738" s="24">
        <v>72.48</v>
      </c>
      <c r="D2738" s="25" t="str">
        <f t="shared" si="84"/>
        <v>201814</v>
      </c>
      <c r="E2738" s="22" t="str">
        <f t="shared" ca="1" si="85"/>
        <v>201804</v>
      </c>
      <c r="F2738" s="22">
        <v>2018</v>
      </c>
    </row>
    <row r="2739" spans="1:6" ht="15.75">
      <c r="A2739" s="22" t="s">
        <v>1441</v>
      </c>
      <c r="B2739" s="26">
        <v>43198</v>
      </c>
      <c r="C2739" s="27">
        <v>0</v>
      </c>
      <c r="D2739" s="25" t="str">
        <f t="shared" si="84"/>
        <v>201814</v>
      </c>
      <c r="E2739" s="22" t="str">
        <f t="shared" ca="1" si="85"/>
        <v>201804</v>
      </c>
      <c r="F2739" s="22">
        <v>2018</v>
      </c>
    </row>
    <row r="2740" spans="1:6" ht="15.75">
      <c r="A2740" s="22" t="s">
        <v>1442</v>
      </c>
      <c r="B2740" s="23">
        <v>43199</v>
      </c>
      <c r="C2740" s="24">
        <v>31.12</v>
      </c>
      <c r="D2740" s="25" t="str">
        <f t="shared" si="84"/>
        <v>201815</v>
      </c>
      <c r="E2740" s="22" t="str">
        <f t="shared" ca="1" si="85"/>
        <v>201804</v>
      </c>
      <c r="F2740" s="22">
        <v>2018</v>
      </c>
    </row>
    <row r="2741" spans="1:6" ht="15.75">
      <c r="A2741" s="22" t="s">
        <v>1441</v>
      </c>
      <c r="B2741" s="26">
        <v>43199</v>
      </c>
      <c r="C2741" s="27">
        <v>0</v>
      </c>
      <c r="D2741" s="25" t="str">
        <f t="shared" si="84"/>
        <v>201815</v>
      </c>
      <c r="E2741" s="22" t="str">
        <f t="shared" ca="1" si="85"/>
        <v>201804</v>
      </c>
      <c r="F2741" s="22">
        <v>2018</v>
      </c>
    </row>
    <row r="2742" spans="1:6" ht="15.75">
      <c r="A2742" s="22" t="s">
        <v>1442</v>
      </c>
      <c r="B2742" s="23">
        <v>43200</v>
      </c>
      <c r="C2742" s="24">
        <v>44.86</v>
      </c>
      <c r="D2742" s="25" t="str">
        <f t="shared" si="84"/>
        <v>201815</v>
      </c>
      <c r="E2742" s="22" t="str">
        <f t="shared" ca="1" si="85"/>
        <v>201804</v>
      </c>
      <c r="F2742" s="22">
        <v>2018</v>
      </c>
    </row>
    <row r="2743" spans="1:6" ht="15.75">
      <c r="A2743" s="22" t="s">
        <v>1441</v>
      </c>
      <c r="B2743" s="26">
        <v>43200</v>
      </c>
      <c r="C2743" s="27">
        <v>0</v>
      </c>
      <c r="D2743" s="25" t="str">
        <f t="shared" si="84"/>
        <v>201815</v>
      </c>
      <c r="E2743" s="22" t="str">
        <f t="shared" ca="1" si="85"/>
        <v>201804</v>
      </c>
      <c r="F2743" s="22">
        <v>2018</v>
      </c>
    </row>
    <row r="2744" spans="1:6" ht="15.75">
      <c r="A2744" s="22" t="s">
        <v>1442</v>
      </c>
      <c r="B2744" s="23">
        <v>43201</v>
      </c>
      <c r="C2744" s="24">
        <v>49.03</v>
      </c>
      <c r="D2744" s="25" t="str">
        <f t="shared" si="84"/>
        <v>201815</v>
      </c>
      <c r="E2744" s="22" t="str">
        <f t="shared" ca="1" si="85"/>
        <v>201804</v>
      </c>
      <c r="F2744" s="22">
        <v>2018</v>
      </c>
    </row>
    <row r="2745" spans="1:6" ht="15.75">
      <c r="A2745" s="22" t="s">
        <v>1441</v>
      </c>
      <c r="B2745" s="26">
        <v>43201</v>
      </c>
      <c r="C2745" s="27">
        <v>0</v>
      </c>
      <c r="D2745" s="25" t="str">
        <f t="shared" si="84"/>
        <v>201815</v>
      </c>
      <c r="E2745" s="22" t="str">
        <f t="shared" ca="1" si="85"/>
        <v>201804</v>
      </c>
      <c r="F2745" s="22">
        <v>2018</v>
      </c>
    </row>
    <row r="2746" spans="1:6" ht="15.75">
      <c r="A2746" s="22" t="s">
        <v>1442</v>
      </c>
      <c r="B2746" s="23">
        <v>43202</v>
      </c>
      <c r="C2746" s="24">
        <v>37.97</v>
      </c>
      <c r="D2746" s="25" t="str">
        <f t="shared" si="84"/>
        <v>201815</v>
      </c>
      <c r="E2746" s="22" t="str">
        <f t="shared" ca="1" si="85"/>
        <v>201804</v>
      </c>
      <c r="F2746" s="22">
        <v>2018</v>
      </c>
    </row>
    <row r="2747" spans="1:6" ht="15.75">
      <c r="A2747" s="22" t="s">
        <v>1441</v>
      </c>
      <c r="B2747" s="26">
        <v>43202</v>
      </c>
      <c r="C2747" s="27">
        <v>0</v>
      </c>
      <c r="D2747" s="25" t="str">
        <f t="shared" si="84"/>
        <v>201815</v>
      </c>
      <c r="E2747" s="22" t="str">
        <f t="shared" ca="1" si="85"/>
        <v>201804</v>
      </c>
      <c r="F2747" s="22">
        <v>2018</v>
      </c>
    </row>
    <row r="2748" spans="1:6" ht="15.75">
      <c r="A2748" s="22" t="s">
        <v>1442</v>
      </c>
      <c r="B2748" s="23">
        <v>43203</v>
      </c>
      <c r="C2748" s="24">
        <v>40.53</v>
      </c>
      <c r="D2748" s="25" t="str">
        <f t="shared" si="84"/>
        <v>201815</v>
      </c>
      <c r="E2748" s="22" t="str">
        <f t="shared" ca="1" si="85"/>
        <v>201804</v>
      </c>
      <c r="F2748" s="22">
        <v>2018</v>
      </c>
    </row>
    <row r="2749" spans="1:6" ht="15.75">
      <c r="A2749" s="22" t="s">
        <v>1441</v>
      </c>
      <c r="B2749" s="26">
        <v>43203</v>
      </c>
      <c r="C2749" s="27">
        <v>0</v>
      </c>
      <c r="D2749" s="25" t="str">
        <f t="shared" si="84"/>
        <v>201815</v>
      </c>
      <c r="E2749" s="22" t="str">
        <f t="shared" ca="1" si="85"/>
        <v>201804</v>
      </c>
      <c r="F2749" s="22">
        <v>2018</v>
      </c>
    </row>
    <row r="2750" spans="1:6" ht="15.75">
      <c r="A2750" s="22" t="s">
        <v>1442</v>
      </c>
      <c r="B2750" s="23">
        <v>43204</v>
      </c>
      <c r="C2750" s="24">
        <v>31.35</v>
      </c>
      <c r="D2750" s="25" t="str">
        <f t="shared" si="84"/>
        <v>201815</v>
      </c>
      <c r="E2750" s="22" t="str">
        <f t="shared" ca="1" si="85"/>
        <v>201804</v>
      </c>
      <c r="F2750" s="22">
        <v>2018</v>
      </c>
    </row>
    <row r="2751" spans="1:6" ht="15.75">
      <c r="A2751" s="22" t="s">
        <v>1441</v>
      </c>
      <c r="B2751" s="26">
        <v>43204</v>
      </c>
      <c r="C2751" s="27">
        <v>0</v>
      </c>
      <c r="D2751" s="25" t="str">
        <f t="shared" si="84"/>
        <v>201815</v>
      </c>
      <c r="E2751" s="22" t="str">
        <f t="shared" ca="1" si="85"/>
        <v>201804</v>
      </c>
      <c r="F2751" s="22">
        <v>2018</v>
      </c>
    </row>
    <row r="2752" spans="1:6" ht="15.75">
      <c r="A2752" s="22" t="s">
        <v>1442</v>
      </c>
      <c r="B2752" s="23">
        <v>43205</v>
      </c>
      <c r="C2752" s="24">
        <v>78.31</v>
      </c>
      <c r="D2752" s="25" t="str">
        <f t="shared" si="84"/>
        <v>201815</v>
      </c>
      <c r="E2752" s="22" t="str">
        <f t="shared" ca="1" si="85"/>
        <v>201804</v>
      </c>
      <c r="F2752" s="22">
        <v>2018</v>
      </c>
    </row>
    <row r="2753" spans="1:6" ht="15.75">
      <c r="A2753" s="22" t="s">
        <v>1441</v>
      </c>
      <c r="B2753" s="26">
        <v>43205</v>
      </c>
      <c r="C2753" s="27">
        <v>0</v>
      </c>
      <c r="D2753" s="25" t="str">
        <f t="shared" si="84"/>
        <v>201815</v>
      </c>
      <c r="E2753" s="22" t="str">
        <f t="shared" ca="1" si="85"/>
        <v>201804</v>
      </c>
      <c r="F2753" s="22">
        <v>2018</v>
      </c>
    </row>
    <row r="2754" spans="1:6" ht="15.75">
      <c r="A2754" s="22" t="s">
        <v>1442</v>
      </c>
      <c r="B2754" s="23">
        <v>43206</v>
      </c>
      <c r="C2754" s="24">
        <v>59.44</v>
      </c>
      <c r="D2754" s="25" t="str">
        <f t="shared" si="84"/>
        <v>201816</v>
      </c>
      <c r="E2754" s="22" t="str">
        <f t="shared" ca="1" si="85"/>
        <v>201804</v>
      </c>
      <c r="F2754" s="22">
        <v>2018</v>
      </c>
    </row>
    <row r="2755" spans="1:6" ht="15.75">
      <c r="A2755" s="22" t="s">
        <v>1441</v>
      </c>
      <c r="B2755" s="26">
        <v>43206</v>
      </c>
      <c r="C2755" s="27">
        <v>0</v>
      </c>
      <c r="D2755" s="25" t="str">
        <f t="shared" ref="D2755:D2818" si="86">CONCATENATE(YEAR(B2755-WEEKDAY(B2755,3)+3),TEXT(WEEKNUM(B2755,21),"00"))</f>
        <v>201816</v>
      </c>
      <c r="E2755" s="22" t="str">
        <f t="shared" ref="E2755:E2818" ca="1" si="87">IF(
  AND(
    YEAR(B2755)=YEAR(TODAY())-1,
    MONTH(B2755)=MONTH(TODAY()),
    DAY(B2755)&gt;DAY($H$2)
  ),
  0,
  CONCATENATE(YEAR(B2755),TEXT(MONTH(B2755),"00"))
)</f>
        <v>201804</v>
      </c>
      <c r="F2755" s="22">
        <v>2018</v>
      </c>
    </row>
    <row r="2756" spans="1:6" ht="15.75">
      <c r="A2756" s="22" t="s">
        <v>1442</v>
      </c>
      <c r="B2756" s="23">
        <v>43207</v>
      </c>
      <c r="C2756" s="24">
        <v>43.56</v>
      </c>
      <c r="D2756" s="25" t="str">
        <f t="shared" si="86"/>
        <v>201816</v>
      </c>
      <c r="E2756" s="22" t="str">
        <f t="shared" ca="1" si="87"/>
        <v>201804</v>
      </c>
      <c r="F2756" s="22">
        <v>2018</v>
      </c>
    </row>
    <row r="2757" spans="1:6" ht="15.75">
      <c r="A2757" s="22" t="s">
        <v>1441</v>
      </c>
      <c r="B2757" s="26">
        <v>43207</v>
      </c>
      <c r="C2757" s="27">
        <v>0</v>
      </c>
      <c r="D2757" s="25" t="str">
        <f t="shared" si="86"/>
        <v>201816</v>
      </c>
      <c r="E2757" s="22" t="str">
        <f t="shared" ca="1" si="87"/>
        <v>201804</v>
      </c>
      <c r="F2757" s="22">
        <v>2018</v>
      </c>
    </row>
    <row r="2758" spans="1:6" ht="15.75">
      <c r="A2758" s="22" t="s">
        <v>1442</v>
      </c>
      <c r="B2758" s="23">
        <v>43208</v>
      </c>
      <c r="C2758" s="24">
        <v>42.76</v>
      </c>
      <c r="D2758" s="25" t="str">
        <f t="shared" si="86"/>
        <v>201816</v>
      </c>
      <c r="E2758" s="22" t="str">
        <f t="shared" ca="1" si="87"/>
        <v>201804</v>
      </c>
      <c r="F2758" s="22">
        <v>2018</v>
      </c>
    </row>
    <row r="2759" spans="1:6" ht="15.75">
      <c r="A2759" s="22" t="s">
        <v>1441</v>
      </c>
      <c r="B2759" s="26">
        <v>43208</v>
      </c>
      <c r="C2759" s="27">
        <v>0</v>
      </c>
      <c r="D2759" s="25" t="str">
        <f t="shared" si="86"/>
        <v>201816</v>
      </c>
      <c r="E2759" s="22" t="str">
        <f t="shared" ca="1" si="87"/>
        <v>201804</v>
      </c>
      <c r="F2759" s="22">
        <v>2018</v>
      </c>
    </row>
    <row r="2760" spans="1:6" ht="15.75">
      <c r="A2760" s="22" t="s">
        <v>1442</v>
      </c>
      <c r="B2760" s="23">
        <v>43209</v>
      </c>
      <c r="C2760" s="24">
        <v>33.79</v>
      </c>
      <c r="D2760" s="25" t="str">
        <f t="shared" si="86"/>
        <v>201816</v>
      </c>
      <c r="E2760" s="22" t="str">
        <f t="shared" ca="1" si="87"/>
        <v>201804</v>
      </c>
      <c r="F2760" s="22">
        <v>2018</v>
      </c>
    </row>
    <row r="2761" spans="1:6" ht="15.75">
      <c r="A2761" s="22" t="s">
        <v>1441</v>
      </c>
      <c r="B2761" s="26">
        <v>43209</v>
      </c>
      <c r="C2761" s="27">
        <v>0</v>
      </c>
      <c r="D2761" s="25" t="str">
        <f t="shared" si="86"/>
        <v>201816</v>
      </c>
      <c r="E2761" s="22" t="str">
        <f t="shared" ca="1" si="87"/>
        <v>201804</v>
      </c>
      <c r="F2761" s="22">
        <v>2018</v>
      </c>
    </row>
    <row r="2762" spans="1:6" ht="15.75">
      <c r="A2762" s="22" t="s">
        <v>1442</v>
      </c>
      <c r="B2762" s="23">
        <v>43210</v>
      </c>
      <c r="C2762" s="24">
        <v>31.56</v>
      </c>
      <c r="D2762" s="25" t="str">
        <f t="shared" si="86"/>
        <v>201816</v>
      </c>
      <c r="E2762" s="22" t="str">
        <f t="shared" ca="1" si="87"/>
        <v>201804</v>
      </c>
      <c r="F2762" s="22">
        <v>2018</v>
      </c>
    </row>
    <row r="2763" spans="1:6" ht="15.75">
      <c r="A2763" s="22" t="s">
        <v>1441</v>
      </c>
      <c r="B2763" s="26">
        <v>43210</v>
      </c>
      <c r="C2763" s="27">
        <v>0</v>
      </c>
      <c r="D2763" s="25" t="str">
        <f t="shared" si="86"/>
        <v>201816</v>
      </c>
      <c r="E2763" s="22" t="str">
        <f t="shared" ca="1" si="87"/>
        <v>201804</v>
      </c>
      <c r="F2763" s="22">
        <v>2018</v>
      </c>
    </row>
    <row r="2764" spans="1:6" ht="15.75">
      <c r="A2764" s="22" t="s">
        <v>1442</v>
      </c>
      <c r="B2764" s="23">
        <v>43211</v>
      </c>
      <c r="C2764" s="24">
        <v>24.64</v>
      </c>
      <c r="D2764" s="25" t="str">
        <f t="shared" si="86"/>
        <v>201816</v>
      </c>
      <c r="E2764" s="22" t="str">
        <f t="shared" ca="1" si="87"/>
        <v>201804</v>
      </c>
      <c r="F2764" s="22">
        <v>2018</v>
      </c>
    </row>
    <row r="2765" spans="1:6" ht="15.75">
      <c r="A2765" s="22" t="s">
        <v>1441</v>
      </c>
      <c r="B2765" s="26">
        <v>43211</v>
      </c>
      <c r="C2765" s="27">
        <v>0</v>
      </c>
      <c r="D2765" s="25" t="str">
        <f t="shared" si="86"/>
        <v>201816</v>
      </c>
      <c r="E2765" s="22" t="str">
        <f t="shared" ca="1" si="87"/>
        <v>201804</v>
      </c>
      <c r="F2765" s="22">
        <v>2018</v>
      </c>
    </row>
    <row r="2766" spans="1:6" ht="15.75">
      <c r="A2766" s="22" t="s">
        <v>1442</v>
      </c>
      <c r="B2766" s="23">
        <v>43212</v>
      </c>
      <c r="C2766" s="24">
        <v>59.48</v>
      </c>
      <c r="D2766" s="25" t="str">
        <f t="shared" si="86"/>
        <v>201816</v>
      </c>
      <c r="E2766" s="22" t="str">
        <f t="shared" ca="1" si="87"/>
        <v>201804</v>
      </c>
      <c r="F2766" s="22">
        <v>2018</v>
      </c>
    </row>
    <row r="2767" spans="1:6" ht="15.75">
      <c r="A2767" s="22" t="s">
        <v>1441</v>
      </c>
      <c r="B2767" s="26">
        <v>43212</v>
      </c>
      <c r="C2767" s="27">
        <v>0</v>
      </c>
      <c r="D2767" s="25" t="str">
        <f t="shared" si="86"/>
        <v>201816</v>
      </c>
      <c r="E2767" s="22" t="str">
        <f t="shared" ca="1" si="87"/>
        <v>201804</v>
      </c>
      <c r="F2767" s="22">
        <v>2018</v>
      </c>
    </row>
    <row r="2768" spans="1:6" ht="15.75">
      <c r="A2768" s="22" t="s">
        <v>1442</v>
      </c>
      <c r="B2768" s="23">
        <v>43213</v>
      </c>
      <c r="C2768" s="24">
        <v>33.200000000000003</v>
      </c>
      <c r="D2768" s="25" t="str">
        <f t="shared" si="86"/>
        <v>201817</v>
      </c>
      <c r="E2768" s="22" t="str">
        <f t="shared" ca="1" si="87"/>
        <v>201804</v>
      </c>
      <c r="F2768" s="22">
        <v>2018</v>
      </c>
    </row>
    <row r="2769" spans="1:6" ht="15.75">
      <c r="A2769" s="22" t="s">
        <v>1441</v>
      </c>
      <c r="B2769" s="26">
        <v>43213</v>
      </c>
      <c r="C2769" s="27">
        <v>0</v>
      </c>
      <c r="D2769" s="25" t="str">
        <f t="shared" si="86"/>
        <v>201817</v>
      </c>
      <c r="E2769" s="22" t="str">
        <f t="shared" ca="1" si="87"/>
        <v>201804</v>
      </c>
      <c r="F2769" s="22">
        <v>2018</v>
      </c>
    </row>
    <row r="2770" spans="1:6" ht="15.75">
      <c r="A2770" s="22" t="s">
        <v>1442</v>
      </c>
      <c r="B2770" s="23">
        <v>43214</v>
      </c>
      <c r="C2770" s="24">
        <v>38.68</v>
      </c>
      <c r="D2770" s="25" t="str">
        <f t="shared" si="86"/>
        <v>201817</v>
      </c>
      <c r="E2770" s="22" t="str">
        <f t="shared" ca="1" si="87"/>
        <v>201804</v>
      </c>
      <c r="F2770" s="22">
        <v>2018</v>
      </c>
    </row>
    <row r="2771" spans="1:6" ht="15.75">
      <c r="A2771" s="22" t="s">
        <v>1441</v>
      </c>
      <c r="B2771" s="26">
        <v>43214</v>
      </c>
      <c r="C2771" s="27">
        <v>0</v>
      </c>
      <c r="D2771" s="25" t="str">
        <f t="shared" si="86"/>
        <v>201817</v>
      </c>
      <c r="E2771" s="22" t="str">
        <f t="shared" ca="1" si="87"/>
        <v>201804</v>
      </c>
      <c r="F2771" s="22">
        <v>2018</v>
      </c>
    </row>
    <row r="2772" spans="1:6" ht="15.75">
      <c r="A2772" s="22" t="s">
        <v>1442</v>
      </c>
      <c r="B2772" s="23">
        <v>43215</v>
      </c>
      <c r="C2772" s="24">
        <v>36.229999999999997</v>
      </c>
      <c r="D2772" s="25" t="str">
        <f t="shared" si="86"/>
        <v>201817</v>
      </c>
      <c r="E2772" s="22" t="str">
        <f t="shared" ca="1" si="87"/>
        <v>201804</v>
      </c>
      <c r="F2772" s="22">
        <v>2018</v>
      </c>
    </row>
    <row r="2773" spans="1:6" ht="15.75">
      <c r="A2773" s="22" t="s">
        <v>1441</v>
      </c>
      <c r="B2773" s="26">
        <v>43215</v>
      </c>
      <c r="C2773" s="27">
        <v>0</v>
      </c>
      <c r="D2773" s="25" t="str">
        <f t="shared" si="86"/>
        <v>201817</v>
      </c>
      <c r="E2773" s="22" t="str">
        <f t="shared" ca="1" si="87"/>
        <v>201804</v>
      </c>
      <c r="F2773" s="22">
        <v>2018</v>
      </c>
    </row>
    <row r="2774" spans="1:6" ht="15.75">
      <c r="A2774" s="22" t="s">
        <v>1442</v>
      </c>
      <c r="B2774" s="23">
        <v>43216</v>
      </c>
      <c r="C2774" s="24">
        <v>29.16</v>
      </c>
      <c r="D2774" s="25" t="str">
        <f t="shared" si="86"/>
        <v>201817</v>
      </c>
      <c r="E2774" s="22" t="str">
        <f t="shared" ca="1" si="87"/>
        <v>201804</v>
      </c>
      <c r="F2774" s="22">
        <v>2018</v>
      </c>
    </row>
    <row r="2775" spans="1:6" ht="15.75">
      <c r="A2775" s="22" t="s">
        <v>1441</v>
      </c>
      <c r="B2775" s="26">
        <v>43216</v>
      </c>
      <c r="C2775" s="27">
        <v>0</v>
      </c>
      <c r="D2775" s="25" t="str">
        <f t="shared" si="86"/>
        <v>201817</v>
      </c>
      <c r="E2775" s="22" t="str">
        <f t="shared" ca="1" si="87"/>
        <v>201804</v>
      </c>
      <c r="F2775" s="22">
        <v>2018</v>
      </c>
    </row>
    <row r="2776" spans="1:6" ht="15.75">
      <c r="A2776" s="22" t="s">
        <v>1442</v>
      </c>
      <c r="B2776" s="23">
        <v>43217</v>
      </c>
      <c r="C2776" s="24">
        <v>30.88</v>
      </c>
      <c r="D2776" s="25" t="str">
        <f t="shared" si="86"/>
        <v>201817</v>
      </c>
      <c r="E2776" s="22" t="str">
        <f t="shared" ca="1" si="87"/>
        <v>201804</v>
      </c>
      <c r="F2776" s="22">
        <v>2018</v>
      </c>
    </row>
    <row r="2777" spans="1:6" ht="15.75">
      <c r="A2777" s="22" t="s">
        <v>1441</v>
      </c>
      <c r="B2777" s="26">
        <v>43217</v>
      </c>
      <c r="C2777" s="27">
        <v>0</v>
      </c>
      <c r="D2777" s="25" t="str">
        <f t="shared" si="86"/>
        <v>201817</v>
      </c>
      <c r="E2777" s="22" t="str">
        <f t="shared" ca="1" si="87"/>
        <v>201804</v>
      </c>
      <c r="F2777" s="22">
        <v>2018</v>
      </c>
    </row>
    <row r="2778" spans="1:6" ht="15.75">
      <c r="A2778" s="22" t="s">
        <v>1442</v>
      </c>
      <c r="B2778" s="23">
        <v>43218</v>
      </c>
      <c r="C2778" s="24">
        <v>26.37</v>
      </c>
      <c r="D2778" s="25" t="str">
        <f t="shared" si="86"/>
        <v>201817</v>
      </c>
      <c r="E2778" s="22" t="str">
        <f t="shared" ca="1" si="87"/>
        <v>201804</v>
      </c>
      <c r="F2778" s="22">
        <v>2018</v>
      </c>
    </row>
    <row r="2779" spans="1:6" ht="15.75">
      <c r="A2779" s="22" t="s">
        <v>1441</v>
      </c>
      <c r="B2779" s="26">
        <v>43218</v>
      </c>
      <c r="C2779" s="27">
        <v>0</v>
      </c>
      <c r="D2779" s="25" t="str">
        <f t="shared" si="86"/>
        <v>201817</v>
      </c>
      <c r="E2779" s="22" t="str">
        <f t="shared" ca="1" si="87"/>
        <v>201804</v>
      </c>
      <c r="F2779" s="22">
        <v>2018</v>
      </c>
    </row>
    <row r="2780" spans="1:6" ht="15.75">
      <c r="A2780" s="22" t="s">
        <v>1442</v>
      </c>
      <c r="B2780" s="23">
        <v>43219</v>
      </c>
      <c r="C2780" s="24">
        <v>54.28</v>
      </c>
      <c r="D2780" s="25" t="str">
        <f t="shared" si="86"/>
        <v>201817</v>
      </c>
      <c r="E2780" s="22" t="str">
        <f t="shared" ca="1" si="87"/>
        <v>201804</v>
      </c>
      <c r="F2780" s="22">
        <v>2018</v>
      </c>
    </row>
    <row r="2781" spans="1:6" ht="15.75">
      <c r="A2781" s="22" t="s">
        <v>1441</v>
      </c>
      <c r="B2781" s="26">
        <v>43219</v>
      </c>
      <c r="C2781" s="27">
        <v>0</v>
      </c>
      <c r="D2781" s="25" t="str">
        <f t="shared" si="86"/>
        <v>201817</v>
      </c>
      <c r="E2781" s="22" t="str">
        <f t="shared" ca="1" si="87"/>
        <v>201804</v>
      </c>
      <c r="F2781" s="22">
        <v>2018</v>
      </c>
    </row>
    <row r="2782" spans="1:6" ht="15.75">
      <c r="A2782" s="22" t="s">
        <v>1442</v>
      </c>
      <c r="B2782" s="23">
        <v>43220</v>
      </c>
      <c r="C2782" s="24">
        <v>30.11</v>
      </c>
      <c r="D2782" s="25" t="str">
        <f t="shared" si="86"/>
        <v>201818</v>
      </c>
      <c r="E2782" s="22" t="str">
        <f t="shared" ca="1" si="87"/>
        <v>201804</v>
      </c>
      <c r="F2782" s="22">
        <v>2018</v>
      </c>
    </row>
    <row r="2783" spans="1:6" ht="15.75">
      <c r="A2783" s="22" t="s">
        <v>1441</v>
      </c>
      <c r="B2783" s="26">
        <v>43220</v>
      </c>
      <c r="C2783" s="27">
        <v>0</v>
      </c>
      <c r="D2783" s="25" t="str">
        <f t="shared" si="86"/>
        <v>201818</v>
      </c>
      <c r="E2783" s="22" t="str">
        <f t="shared" ca="1" si="87"/>
        <v>201804</v>
      </c>
      <c r="F2783" s="22">
        <v>2018</v>
      </c>
    </row>
    <row r="2784" spans="1:6" ht="15.75">
      <c r="A2784" s="22" t="s">
        <v>1442</v>
      </c>
      <c r="B2784" s="23">
        <v>43221</v>
      </c>
      <c r="C2784" s="24">
        <v>32.979999999999997</v>
      </c>
      <c r="D2784" s="25" t="str">
        <f t="shared" si="86"/>
        <v>201818</v>
      </c>
      <c r="E2784" s="22" t="str">
        <f t="shared" ca="1" si="87"/>
        <v>201805</v>
      </c>
      <c r="F2784" s="22">
        <v>2018</v>
      </c>
    </row>
    <row r="2785" spans="1:6" ht="15.75">
      <c r="A2785" s="22" t="s">
        <v>1441</v>
      </c>
      <c r="B2785" s="26">
        <v>43221</v>
      </c>
      <c r="C2785" s="27">
        <v>0</v>
      </c>
      <c r="D2785" s="25" t="str">
        <f t="shared" si="86"/>
        <v>201818</v>
      </c>
      <c r="E2785" s="22" t="str">
        <f t="shared" ca="1" si="87"/>
        <v>201805</v>
      </c>
      <c r="F2785" s="22">
        <v>2018</v>
      </c>
    </row>
    <row r="2786" spans="1:6" ht="15.75">
      <c r="A2786" s="22" t="s">
        <v>1442</v>
      </c>
      <c r="B2786" s="23">
        <v>43222</v>
      </c>
      <c r="C2786" s="24">
        <v>32.51</v>
      </c>
      <c r="D2786" s="25" t="str">
        <f t="shared" si="86"/>
        <v>201818</v>
      </c>
      <c r="E2786" s="22" t="str">
        <f t="shared" ca="1" si="87"/>
        <v>201805</v>
      </c>
      <c r="F2786" s="22">
        <v>2018</v>
      </c>
    </row>
    <row r="2787" spans="1:6" ht="15.75">
      <c r="A2787" s="22" t="s">
        <v>1441</v>
      </c>
      <c r="B2787" s="26">
        <v>43222</v>
      </c>
      <c r="C2787" s="27">
        <v>0</v>
      </c>
      <c r="D2787" s="25" t="str">
        <f t="shared" si="86"/>
        <v>201818</v>
      </c>
      <c r="E2787" s="22" t="str">
        <f t="shared" ca="1" si="87"/>
        <v>201805</v>
      </c>
      <c r="F2787" s="22">
        <v>2018</v>
      </c>
    </row>
    <row r="2788" spans="1:6" ht="15.75">
      <c r="A2788" s="22" t="s">
        <v>1442</v>
      </c>
      <c r="B2788" s="23">
        <v>43223</v>
      </c>
      <c r="C2788" s="24">
        <v>24.58</v>
      </c>
      <c r="D2788" s="25" t="str">
        <f t="shared" si="86"/>
        <v>201818</v>
      </c>
      <c r="E2788" s="22" t="str">
        <f t="shared" ca="1" si="87"/>
        <v>201805</v>
      </c>
      <c r="F2788" s="22">
        <v>2018</v>
      </c>
    </row>
    <row r="2789" spans="1:6" ht="15.75">
      <c r="A2789" s="22" t="s">
        <v>1441</v>
      </c>
      <c r="B2789" s="26">
        <v>43223</v>
      </c>
      <c r="C2789" s="27">
        <v>0</v>
      </c>
      <c r="D2789" s="25" t="str">
        <f t="shared" si="86"/>
        <v>201818</v>
      </c>
      <c r="E2789" s="22" t="str">
        <f t="shared" ca="1" si="87"/>
        <v>201805</v>
      </c>
      <c r="F2789" s="22">
        <v>2018</v>
      </c>
    </row>
    <row r="2790" spans="1:6" ht="15.75">
      <c r="A2790" s="22" t="s">
        <v>1442</v>
      </c>
      <c r="B2790" s="23">
        <v>43224</v>
      </c>
      <c r="C2790" s="24">
        <v>23.37</v>
      </c>
      <c r="D2790" s="25" t="str">
        <f t="shared" si="86"/>
        <v>201818</v>
      </c>
      <c r="E2790" s="22" t="str">
        <f t="shared" ca="1" si="87"/>
        <v>201805</v>
      </c>
      <c r="F2790" s="22">
        <v>2018</v>
      </c>
    </row>
    <row r="2791" spans="1:6" ht="15.75">
      <c r="A2791" s="22" t="s">
        <v>1441</v>
      </c>
      <c r="B2791" s="26">
        <v>43224</v>
      </c>
      <c r="C2791" s="27">
        <v>0</v>
      </c>
      <c r="D2791" s="25" t="str">
        <f t="shared" si="86"/>
        <v>201818</v>
      </c>
      <c r="E2791" s="22" t="str">
        <f t="shared" ca="1" si="87"/>
        <v>201805</v>
      </c>
      <c r="F2791" s="22">
        <v>2018</v>
      </c>
    </row>
    <row r="2792" spans="1:6" ht="15.75">
      <c r="A2792" s="22" t="s">
        <v>1442</v>
      </c>
      <c r="B2792" s="23">
        <v>43225</v>
      </c>
      <c r="C2792" s="24">
        <v>19.55</v>
      </c>
      <c r="D2792" s="25" t="str">
        <f t="shared" si="86"/>
        <v>201818</v>
      </c>
      <c r="E2792" s="22" t="str">
        <f t="shared" ca="1" si="87"/>
        <v>201805</v>
      </c>
      <c r="F2792" s="22">
        <v>2018</v>
      </c>
    </row>
    <row r="2793" spans="1:6" ht="15.75">
      <c r="A2793" s="22" t="s">
        <v>1441</v>
      </c>
      <c r="B2793" s="26">
        <v>43225</v>
      </c>
      <c r="C2793" s="27">
        <v>0</v>
      </c>
      <c r="D2793" s="25" t="str">
        <f t="shared" si="86"/>
        <v>201818</v>
      </c>
      <c r="E2793" s="22" t="str">
        <f t="shared" ca="1" si="87"/>
        <v>201805</v>
      </c>
      <c r="F2793" s="22">
        <v>2018</v>
      </c>
    </row>
    <row r="2794" spans="1:6" ht="15.75">
      <c r="A2794" s="22" t="s">
        <v>1442</v>
      </c>
      <c r="B2794" s="23">
        <v>43226</v>
      </c>
      <c r="C2794" s="24">
        <v>23.88</v>
      </c>
      <c r="D2794" s="25" t="str">
        <f t="shared" si="86"/>
        <v>201818</v>
      </c>
      <c r="E2794" s="22" t="str">
        <f t="shared" ca="1" si="87"/>
        <v>201805</v>
      </c>
      <c r="F2794" s="22">
        <v>2018</v>
      </c>
    </row>
    <row r="2795" spans="1:6" ht="15.75">
      <c r="A2795" s="22" t="s">
        <v>1441</v>
      </c>
      <c r="B2795" s="26">
        <v>43226</v>
      </c>
      <c r="C2795" s="27">
        <v>0</v>
      </c>
      <c r="D2795" s="25" t="str">
        <f t="shared" si="86"/>
        <v>201818</v>
      </c>
      <c r="E2795" s="22" t="str">
        <f t="shared" ca="1" si="87"/>
        <v>201805</v>
      </c>
      <c r="F2795" s="22">
        <v>2018</v>
      </c>
    </row>
    <row r="2796" spans="1:6" ht="15.75">
      <c r="A2796" s="22" t="s">
        <v>1442</v>
      </c>
      <c r="B2796" s="23">
        <v>43227</v>
      </c>
      <c r="C2796" s="24">
        <v>16.010000000000002</v>
      </c>
      <c r="D2796" s="25" t="str">
        <f t="shared" si="86"/>
        <v>201819</v>
      </c>
      <c r="E2796" s="22" t="str">
        <f t="shared" ca="1" si="87"/>
        <v>201805</v>
      </c>
      <c r="F2796" s="22">
        <v>2018</v>
      </c>
    </row>
    <row r="2797" spans="1:6" ht="15.75">
      <c r="A2797" s="22" t="s">
        <v>1441</v>
      </c>
      <c r="B2797" s="26">
        <v>43227</v>
      </c>
      <c r="C2797" s="27">
        <v>0</v>
      </c>
      <c r="D2797" s="25" t="str">
        <f t="shared" si="86"/>
        <v>201819</v>
      </c>
      <c r="E2797" s="22" t="str">
        <f t="shared" ca="1" si="87"/>
        <v>201805</v>
      </c>
      <c r="F2797" s="22">
        <v>2018</v>
      </c>
    </row>
    <row r="2798" spans="1:6" ht="15.75">
      <c r="A2798" s="22" t="s">
        <v>1442</v>
      </c>
      <c r="B2798" s="23">
        <v>43228</v>
      </c>
      <c r="C2798" s="24">
        <v>19.48</v>
      </c>
      <c r="D2798" s="25" t="str">
        <f t="shared" si="86"/>
        <v>201819</v>
      </c>
      <c r="E2798" s="22" t="str">
        <f t="shared" ca="1" si="87"/>
        <v>201805</v>
      </c>
      <c r="F2798" s="22">
        <v>2018</v>
      </c>
    </row>
    <row r="2799" spans="1:6" ht="15.75">
      <c r="A2799" s="22" t="s">
        <v>1441</v>
      </c>
      <c r="B2799" s="26">
        <v>43228</v>
      </c>
      <c r="C2799" s="27">
        <v>0</v>
      </c>
      <c r="D2799" s="25" t="str">
        <f t="shared" si="86"/>
        <v>201819</v>
      </c>
      <c r="E2799" s="22" t="str">
        <f t="shared" ca="1" si="87"/>
        <v>201805</v>
      </c>
      <c r="F2799" s="22">
        <v>2018</v>
      </c>
    </row>
    <row r="2800" spans="1:6" ht="15.75">
      <c r="A2800" s="22" t="s">
        <v>1442</v>
      </c>
      <c r="B2800" s="23">
        <v>43229</v>
      </c>
      <c r="C2800" s="24">
        <v>23.66</v>
      </c>
      <c r="D2800" s="25" t="str">
        <f t="shared" si="86"/>
        <v>201819</v>
      </c>
      <c r="E2800" s="22" t="str">
        <f t="shared" ca="1" si="87"/>
        <v>201805</v>
      </c>
      <c r="F2800" s="22">
        <v>2018</v>
      </c>
    </row>
    <row r="2801" spans="1:6" ht="15.75">
      <c r="A2801" s="22" t="s">
        <v>1441</v>
      </c>
      <c r="B2801" s="26">
        <v>43229</v>
      </c>
      <c r="C2801" s="27">
        <v>0</v>
      </c>
      <c r="D2801" s="25" t="str">
        <f t="shared" si="86"/>
        <v>201819</v>
      </c>
      <c r="E2801" s="22" t="str">
        <f t="shared" ca="1" si="87"/>
        <v>201805</v>
      </c>
      <c r="F2801" s="22">
        <v>2018</v>
      </c>
    </row>
    <row r="2802" spans="1:6" ht="15.75">
      <c r="A2802" s="22" t="s">
        <v>1442</v>
      </c>
      <c r="B2802" s="23">
        <v>43230</v>
      </c>
      <c r="C2802" s="24">
        <v>30.1</v>
      </c>
      <c r="D2802" s="25" t="str">
        <f t="shared" si="86"/>
        <v>201819</v>
      </c>
      <c r="E2802" s="22" t="str">
        <f t="shared" ca="1" si="87"/>
        <v>201805</v>
      </c>
      <c r="F2802" s="22">
        <v>2018</v>
      </c>
    </row>
    <row r="2803" spans="1:6" ht="15.75">
      <c r="A2803" s="22" t="s">
        <v>1441</v>
      </c>
      <c r="B2803" s="26">
        <v>43230</v>
      </c>
      <c r="C2803" s="27">
        <v>0</v>
      </c>
      <c r="D2803" s="25" t="str">
        <f t="shared" si="86"/>
        <v>201819</v>
      </c>
      <c r="E2803" s="22" t="str">
        <f t="shared" ca="1" si="87"/>
        <v>201805</v>
      </c>
      <c r="F2803" s="22">
        <v>2018</v>
      </c>
    </row>
    <row r="2804" spans="1:6" ht="15.75">
      <c r="A2804" s="22" t="s">
        <v>1442</v>
      </c>
      <c r="B2804" s="23">
        <v>43231</v>
      </c>
      <c r="C2804" s="24">
        <v>26.3</v>
      </c>
      <c r="D2804" s="25" t="str">
        <f t="shared" si="86"/>
        <v>201819</v>
      </c>
      <c r="E2804" s="22" t="str">
        <f t="shared" ca="1" si="87"/>
        <v>201805</v>
      </c>
      <c r="F2804" s="22">
        <v>2018</v>
      </c>
    </row>
    <row r="2805" spans="1:6" ht="15.75">
      <c r="A2805" s="22" t="s">
        <v>1441</v>
      </c>
      <c r="B2805" s="26">
        <v>43231</v>
      </c>
      <c r="C2805" s="27">
        <v>0</v>
      </c>
      <c r="D2805" s="25" t="str">
        <f t="shared" si="86"/>
        <v>201819</v>
      </c>
      <c r="E2805" s="22" t="str">
        <f t="shared" ca="1" si="87"/>
        <v>201805</v>
      </c>
      <c r="F2805" s="22">
        <v>2018</v>
      </c>
    </row>
    <row r="2806" spans="1:6" ht="15.75">
      <c r="A2806" s="22" t="s">
        <v>1442</v>
      </c>
      <c r="B2806" s="23">
        <v>43232</v>
      </c>
      <c r="C2806" s="24">
        <v>35.799999999999997</v>
      </c>
      <c r="D2806" s="25" t="str">
        <f t="shared" si="86"/>
        <v>201819</v>
      </c>
      <c r="E2806" s="22" t="str">
        <f t="shared" ca="1" si="87"/>
        <v>201805</v>
      </c>
      <c r="F2806" s="22">
        <v>2018</v>
      </c>
    </row>
    <row r="2807" spans="1:6" ht="15.75">
      <c r="A2807" s="22" t="s">
        <v>1441</v>
      </c>
      <c r="B2807" s="26">
        <v>43232</v>
      </c>
      <c r="C2807" s="27">
        <v>0</v>
      </c>
      <c r="D2807" s="25" t="str">
        <f t="shared" si="86"/>
        <v>201819</v>
      </c>
      <c r="E2807" s="22" t="str">
        <f t="shared" ca="1" si="87"/>
        <v>201805</v>
      </c>
      <c r="F2807" s="22">
        <v>2018</v>
      </c>
    </row>
    <row r="2808" spans="1:6" ht="15.75">
      <c r="A2808" s="22" t="s">
        <v>1442</v>
      </c>
      <c r="B2808" s="23">
        <v>43233</v>
      </c>
      <c r="C2808" s="24">
        <v>49.6</v>
      </c>
      <c r="D2808" s="25" t="str">
        <f t="shared" si="86"/>
        <v>201819</v>
      </c>
      <c r="E2808" s="22" t="str">
        <f t="shared" ca="1" si="87"/>
        <v>201805</v>
      </c>
      <c r="F2808" s="22">
        <v>2018</v>
      </c>
    </row>
    <row r="2809" spans="1:6" ht="15.75">
      <c r="A2809" s="22" t="s">
        <v>1441</v>
      </c>
      <c r="B2809" s="26">
        <v>43233</v>
      </c>
      <c r="C2809" s="27">
        <v>0</v>
      </c>
      <c r="D2809" s="25" t="str">
        <f t="shared" si="86"/>
        <v>201819</v>
      </c>
      <c r="E2809" s="22" t="str">
        <f t="shared" ca="1" si="87"/>
        <v>201805</v>
      </c>
      <c r="F2809" s="22">
        <v>2018</v>
      </c>
    </row>
    <row r="2810" spans="1:6" ht="15.75">
      <c r="A2810" s="22" t="s">
        <v>1442</v>
      </c>
      <c r="B2810" s="23">
        <v>43234</v>
      </c>
      <c r="C2810" s="24">
        <v>31.6</v>
      </c>
      <c r="D2810" s="25" t="str">
        <f t="shared" si="86"/>
        <v>201820</v>
      </c>
      <c r="E2810" s="22" t="str">
        <f t="shared" ca="1" si="87"/>
        <v>201805</v>
      </c>
      <c r="F2810" s="22">
        <v>2018</v>
      </c>
    </row>
    <row r="2811" spans="1:6" ht="15.75">
      <c r="A2811" s="22" t="s">
        <v>1441</v>
      </c>
      <c r="B2811" s="26">
        <v>43234</v>
      </c>
      <c r="C2811" s="27">
        <v>0</v>
      </c>
      <c r="D2811" s="25" t="str">
        <f t="shared" si="86"/>
        <v>201820</v>
      </c>
      <c r="E2811" s="22" t="str">
        <f t="shared" ca="1" si="87"/>
        <v>201805</v>
      </c>
      <c r="F2811" s="22">
        <v>2018</v>
      </c>
    </row>
    <row r="2812" spans="1:6" ht="15.75">
      <c r="A2812" s="22" t="s">
        <v>1442</v>
      </c>
      <c r="B2812" s="23">
        <v>43235</v>
      </c>
      <c r="C2812" s="24">
        <v>23.5</v>
      </c>
      <c r="D2812" s="25" t="str">
        <f t="shared" si="86"/>
        <v>201820</v>
      </c>
      <c r="E2812" s="22" t="str">
        <f t="shared" ca="1" si="87"/>
        <v>201805</v>
      </c>
      <c r="F2812" s="22">
        <v>2018</v>
      </c>
    </row>
    <row r="2813" spans="1:6" ht="15.75">
      <c r="A2813" s="22" t="s">
        <v>1441</v>
      </c>
      <c r="B2813" s="26">
        <v>43235</v>
      </c>
      <c r="C2813" s="27">
        <v>0</v>
      </c>
      <c r="D2813" s="25" t="str">
        <f t="shared" si="86"/>
        <v>201820</v>
      </c>
      <c r="E2813" s="22" t="str">
        <f t="shared" ca="1" si="87"/>
        <v>201805</v>
      </c>
      <c r="F2813" s="22">
        <v>2018</v>
      </c>
    </row>
    <row r="2814" spans="1:6" ht="15.75">
      <c r="A2814" s="22" t="s">
        <v>1442</v>
      </c>
      <c r="B2814" s="23">
        <v>43236</v>
      </c>
      <c r="C2814" s="24">
        <v>29.16</v>
      </c>
      <c r="D2814" s="25" t="str">
        <f t="shared" si="86"/>
        <v>201820</v>
      </c>
      <c r="E2814" s="22" t="str">
        <f t="shared" ca="1" si="87"/>
        <v>201805</v>
      </c>
      <c r="F2814" s="22">
        <v>2018</v>
      </c>
    </row>
    <row r="2815" spans="1:6" ht="15.75">
      <c r="A2815" s="22" t="s">
        <v>1441</v>
      </c>
      <c r="B2815" s="26">
        <v>43236</v>
      </c>
      <c r="C2815" s="27">
        <v>0</v>
      </c>
      <c r="D2815" s="25" t="str">
        <f t="shared" si="86"/>
        <v>201820</v>
      </c>
      <c r="E2815" s="22" t="str">
        <f t="shared" ca="1" si="87"/>
        <v>201805</v>
      </c>
      <c r="F2815" s="22">
        <v>2018</v>
      </c>
    </row>
    <row r="2816" spans="1:6" ht="15.75">
      <c r="A2816" s="22" t="s">
        <v>1442</v>
      </c>
      <c r="B2816" s="23">
        <v>43237</v>
      </c>
      <c r="C2816" s="24">
        <v>30.28</v>
      </c>
      <c r="D2816" s="25" t="str">
        <f t="shared" si="86"/>
        <v>201820</v>
      </c>
      <c r="E2816" s="22" t="str">
        <f t="shared" ca="1" si="87"/>
        <v>201805</v>
      </c>
      <c r="F2816" s="22">
        <v>2018</v>
      </c>
    </row>
    <row r="2817" spans="1:6" ht="15.75">
      <c r="A2817" s="22" t="s">
        <v>1441</v>
      </c>
      <c r="B2817" s="26">
        <v>43237</v>
      </c>
      <c r="C2817" s="27">
        <v>0</v>
      </c>
      <c r="D2817" s="25" t="str">
        <f t="shared" si="86"/>
        <v>201820</v>
      </c>
      <c r="E2817" s="22" t="str">
        <f t="shared" ca="1" si="87"/>
        <v>201805</v>
      </c>
      <c r="F2817" s="22">
        <v>2018</v>
      </c>
    </row>
    <row r="2818" spans="1:6" ht="15.75">
      <c r="A2818" s="22" t="s">
        <v>1442</v>
      </c>
      <c r="B2818" s="23">
        <v>43238</v>
      </c>
      <c r="C2818" s="24">
        <v>21.74</v>
      </c>
      <c r="D2818" s="25" t="str">
        <f t="shared" si="86"/>
        <v>201820</v>
      </c>
      <c r="E2818" s="22" t="str">
        <f t="shared" ca="1" si="87"/>
        <v>201805</v>
      </c>
      <c r="F2818" s="22">
        <v>2018</v>
      </c>
    </row>
    <row r="2819" spans="1:6" ht="15.75">
      <c r="A2819" s="22" t="s">
        <v>1441</v>
      </c>
      <c r="B2819" s="26">
        <v>43238</v>
      </c>
      <c r="C2819" s="27">
        <v>0</v>
      </c>
      <c r="D2819" s="25" t="str">
        <f t="shared" ref="D2819:D2882" si="88">CONCATENATE(YEAR(B2819-WEEKDAY(B2819,3)+3),TEXT(WEEKNUM(B2819,21),"00"))</f>
        <v>201820</v>
      </c>
      <c r="E2819" s="22" t="str">
        <f t="shared" ref="E2819:E2882" ca="1" si="89">IF(
  AND(
    YEAR(B2819)=YEAR(TODAY())-1,
    MONTH(B2819)=MONTH(TODAY()),
    DAY(B2819)&gt;DAY($H$2)
  ),
  0,
  CONCATENATE(YEAR(B2819),TEXT(MONTH(B2819),"00"))
)</f>
        <v>201805</v>
      </c>
      <c r="F2819" s="22">
        <v>2018</v>
      </c>
    </row>
    <row r="2820" spans="1:6" ht="15.75">
      <c r="A2820" s="22" t="s">
        <v>1442</v>
      </c>
      <c r="B2820" s="23">
        <v>43239</v>
      </c>
      <c r="C2820" s="24">
        <v>10.36</v>
      </c>
      <c r="D2820" s="25" t="str">
        <f t="shared" si="88"/>
        <v>201820</v>
      </c>
      <c r="E2820" s="22" t="str">
        <f t="shared" ca="1" si="89"/>
        <v>201805</v>
      </c>
      <c r="F2820" s="22">
        <v>2018</v>
      </c>
    </row>
    <row r="2821" spans="1:6" ht="15.75">
      <c r="A2821" s="22" t="s">
        <v>1441</v>
      </c>
      <c r="B2821" s="26">
        <v>43239</v>
      </c>
      <c r="C2821" s="27">
        <v>0</v>
      </c>
      <c r="D2821" s="25" t="str">
        <f t="shared" si="88"/>
        <v>201820</v>
      </c>
      <c r="E2821" s="22" t="str">
        <f t="shared" ca="1" si="89"/>
        <v>201805</v>
      </c>
      <c r="F2821" s="22">
        <v>2018</v>
      </c>
    </row>
    <row r="2822" spans="1:6" ht="15.75">
      <c r="A2822" s="22" t="s">
        <v>1442</v>
      </c>
      <c r="B2822" s="23">
        <v>43240</v>
      </c>
      <c r="C2822" s="24">
        <v>35.229999999999997</v>
      </c>
      <c r="D2822" s="25" t="str">
        <f t="shared" si="88"/>
        <v>201820</v>
      </c>
      <c r="E2822" s="22" t="str">
        <f t="shared" ca="1" si="89"/>
        <v>201805</v>
      </c>
      <c r="F2822" s="22">
        <v>2018</v>
      </c>
    </row>
    <row r="2823" spans="1:6" ht="15.75">
      <c r="A2823" s="22" t="s">
        <v>1441</v>
      </c>
      <c r="B2823" s="26">
        <v>43240</v>
      </c>
      <c r="C2823" s="27">
        <v>0</v>
      </c>
      <c r="D2823" s="25" t="str">
        <f t="shared" si="88"/>
        <v>201820</v>
      </c>
      <c r="E2823" s="22" t="str">
        <f t="shared" ca="1" si="89"/>
        <v>201805</v>
      </c>
      <c r="F2823" s="22">
        <v>2018</v>
      </c>
    </row>
    <row r="2824" spans="1:6" ht="15.75">
      <c r="A2824" s="22" t="s">
        <v>1442</v>
      </c>
      <c r="B2824" s="23">
        <v>43241</v>
      </c>
      <c r="C2824" s="24">
        <v>24.3</v>
      </c>
      <c r="D2824" s="25" t="str">
        <f t="shared" si="88"/>
        <v>201821</v>
      </c>
      <c r="E2824" s="22" t="str">
        <f t="shared" ca="1" si="89"/>
        <v>201805</v>
      </c>
      <c r="F2824" s="22">
        <v>2018</v>
      </c>
    </row>
    <row r="2825" spans="1:6" ht="15.75">
      <c r="A2825" s="22" t="s">
        <v>1441</v>
      </c>
      <c r="B2825" s="26">
        <v>43241</v>
      </c>
      <c r="C2825" s="27">
        <v>0</v>
      </c>
      <c r="D2825" s="25" t="str">
        <f t="shared" si="88"/>
        <v>201821</v>
      </c>
      <c r="E2825" s="22" t="str">
        <f t="shared" ca="1" si="89"/>
        <v>201805</v>
      </c>
      <c r="F2825" s="22">
        <v>2018</v>
      </c>
    </row>
    <row r="2826" spans="1:6" ht="15.75">
      <c r="A2826" s="22" t="s">
        <v>1442</v>
      </c>
      <c r="B2826" s="23">
        <v>43242</v>
      </c>
      <c r="C2826" s="24">
        <v>16.72</v>
      </c>
      <c r="D2826" s="25" t="str">
        <f t="shared" si="88"/>
        <v>201821</v>
      </c>
      <c r="E2826" s="22" t="str">
        <f t="shared" ca="1" si="89"/>
        <v>201805</v>
      </c>
      <c r="F2826" s="22">
        <v>2018</v>
      </c>
    </row>
    <row r="2827" spans="1:6" ht="15.75">
      <c r="A2827" s="22" t="s">
        <v>1441</v>
      </c>
      <c r="B2827" s="26">
        <v>43242</v>
      </c>
      <c r="C2827" s="27">
        <v>0</v>
      </c>
      <c r="D2827" s="25" t="str">
        <f t="shared" si="88"/>
        <v>201821</v>
      </c>
      <c r="E2827" s="22" t="str">
        <f t="shared" ca="1" si="89"/>
        <v>201805</v>
      </c>
      <c r="F2827" s="22">
        <v>2018</v>
      </c>
    </row>
    <row r="2828" spans="1:6" ht="15.75">
      <c r="A2828" s="22" t="s">
        <v>1442</v>
      </c>
      <c r="B2828" s="23">
        <v>43243</v>
      </c>
      <c r="C2828" s="24">
        <v>154.27000000000001</v>
      </c>
      <c r="D2828" s="25" t="str">
        <f t="shared" si="88"/>
        <v>201821</v>
      </c>
      <c r="E2828" s="22" t="str">
        <f t="shared" ca="1" si="89"/>
        <v>201805</v>
      </c>
      <c r="F2828" s="22">
        <v>2018</v>
      </c>
    </row>
    <row r="2829" spans="1:6" ht="15.75">
      <c r="A2829" s="22" t="s">
        <v>1442</v>
      </c>
      <c r="B2829" s="23">
        <v>43243</v>
      </c>
      <c r="C2829" s="24">
        <v>0</v>
      </c>
      <c r="D2829" s="25" t="str">
        <f t="shared" si="88"/>
        <v>201821</v>
      </c>
      <c r="E2829" s="22" t="str">
        <f t="shared" ca="1" si="89"/>
        <v>201805</v>
      </c>
      <c r="F2829" s="22">
        <v>2018</v>
      </c>
    </row>
    <row r="2830" spans="1:6" ht="15.75">
      <c r="A2830" s="22" t="s">
        <v>1441</v>
      </c>
      <c r="B2830" s="26">
        <v>43243</v>
      </c>
      <c r="C2830" s="27">
        <v>0</v>
      </c>
      <c r="D2830" s="25" t="str">
        <f t="shared" si="88"/>
        <v>201821</v>
      </c>
      <c r="E2830" s="22" t="str">
        <f t="shared" ca="1" si="89"/>
        <v>201805</v>
      </c>
      <c r="F2830" s="22">
        <v>2018</v>
      </c>
    </row>
    <row r="2831" spans="1:6" ht="15.75">
      <c r="A2831" s="22" t="s">
        <v>1442</v>
      </c>
      <c r="B2831" s="23">
        <v>43244</v>
      </c>
      <c r="C2831" s="24">
        <v>190.04</v>
      </c>
      <c r="D2831" s="25" t="str">
        <f t="shared" si="88"/>
        <v>201821</v>
      </c>
      <c r="E2831" s="22" t="str">
        <f t="shared" ca="1" si="89"/>
        <v>201805</v>
      </c>
      <c r="F2831" s="22">
        <v>2018</v>
      </c>
    </row>
    <row r="2832" spans="1:6" ht="15.75">
      <c r="A2832" s="22" t="s">
        <v>1442</v>
      </c>
      <c r="B2832" s="23">
        <v>43244</v>
      </c>
      <c r="C2832" s="24">
        <v>0</v>
      </c>
      <c r="D2832" s="25" t="str">
        <f t="shared" si="88"/>
        <v>201821</v>
      </c>
      <c r="E2832" s="22" t="str">
        <f t="shared" ca="1" si="89"/>
        <v>201805</v>
      </c>
      <c r="F2832" s="22">
        <v>2018</v>
      </c>
    </row>
    <row r="2833" spans="1:6" ht="15.75">
      <c r="A2833" s="22" t="s">
        <v>1441</v>
      </c>
      <c r="B2833" s="26">
        <v>43244</v>
      </c>
      <c r="C2833" s="27">
        <v>0</v>
      </c>
      <c r="D2833" s="25" t="str">
        <f t="shared" si="88"/>
        <v>201821</v>
      </c>
      <c r="E2833" s="22" t="str">
        <f t="shared" ca="1" si="89"/>
        <v>201805</v>
      </c>
      <c r="F2833" s="22">
        <v>2018</v>
      </c>
    </row>
    <row r="2834" spans="1:6" ht="15.75">
      <c r="A2834" s="22" t="s">
        <v>1442</v>
      </c>
      <c r="B2834" s="23">
        <v>43245</v>
      </c>
      <c r="C2834" s="24">
        <v>185.12</v>
      </c>
      <c r="D2834" s="25" t="str">
        <f t="shared" si="88"/>
        <v>201821</v>
      </c>
      <c r="E2834" s="22" t="str">
        <f t="shared" ca="1" si="89"/>
        <v>201805</v>
      </c>
      <c r="F2834" s="22">
        <v>2018</v>
      </c>
    </row>
    <row r="2835" spans="1:6" ht="15.75">
      <c r="A2835" s="22" t="s">
        <v>1442</v>
      </c>
      <c r="B2835" s="23">
        <v>43245</v>
      </c>
      <c r="C2835" s="24">
        <v>0</v>
      </c>
      <c r="D2835" s="25" t="str">
        <f t="shared" si="88"/>
        <v>201821</v>
      </c>
      <c r="E2835" s="22" t="str">
        <f t="shared" ca="1" si="89"/>
        <v>201805</v>
      </c>
      <c r="F2835" s="22">
        <v>2018</v>
      </c>
    </row>
    <row r="2836" spans="1:6" ht="15.75">
      <c r="A2836" s="22" t="s">
        <v>1441</v>
      </c>
      <c r="B2836" s="26">
        <v>43245</v>
      </c>
      <c r="C2836" s="27">
        <v>0</v>
      </c>
      <c r="D2836" s="25" t="str">
        <f t="shared" si="88"/>
        <v>201821</v>
      </c>
      <c r="E2836" s="22" t="str">
        <f t="shared" ca="1" si="89"/>
        <v>201805</v>
      </c>
      <c r="F2836" s="22">
        <v>2018</v>
      </c>
    </row>
    <row r="2837" spans="1:6" ht="15.75">
      <c r="A2837" s="22" t="s">
        <v>1442</v>
      </c>
      <c r="B2837" s="23">
        <v>43246</v>
      </c>
      <c r="C2837" s="24">
        <v>148.31</v>
      </c>
      <c r="D2837" s="25" t="str">
        <f t="shared" si="88"/>
        <v>201821</v>
      </c>
      <c r="E2837" s="22" t="str">
        <f t="shared" ca="1" si="89"/>
        <v>201805</v>
      </c>
      <c r="F2837" s="22">
        <v>2018</v>
      </c>
    </row>
    <row r="2838" spans="1:6" ht="15.75">
      <c r="A2838" s="22" t="s">
        <v>1442</v>
      </c>
      <c r="B2838" s="23">
        <v>43246</v>
      </c>
      <c r="C2838" s="24">
        <v>0</v>
      </c>
      <c r="D2838" s="25" t="str">
        <f t="shared" si="88"/>
        <v>201821</v>
      </c>
      <c r="E2838" s="22" t="str">
        <f t="shared" ca="1" si="89"/>
        <v>201805</v>
      </c>
      <c r="F2838" s="22">
        <v>2018</v>
      </c>
    </row>
    <row r="2839" spans="1:6" ht="15.75">
      <c r="A2839" s="22" t="s">
        <v>1441</v>
      </c>
      <c r="B2839" s="26">
        <v>43246</v>
      </c>
      <c r="C2839" s="27">
        <v>0</v>
      </c>
      <c r="D2839" s="25" t="str">
        <f t="shared" si="88"/>
        <v>201821</v>
      </c>
      <c r="E2839" s="22" t="str">
        <f t="shared" ca="1" si="89"/>
        <v>201805</v>
      </c>
      <c r="F2839" s="22">
        <v>2018</v>
      </c>
    </row>
    <row r="2840" spans="1:6" ht="15.75">
      <c r="A2840" s="22" t="s">
        <v>1442</v>
      </c>
      <c r="B2840" s="23">
        <v>43247</v>
      </c>
      <c r="C2840" s="24">
        <v>268.17</v>
      </c>
      <c r="D2840" s="25" t="str">
        <f t="shared" si="88"/>
        <v>201821</v>
      </c>
      <c r="E2840" s="22" t="str">
        <f t="shared" ca="1" si="89"/>
        <v>201805</v>
      </c>
      <c r="F2840" s="22">
        <v>2018</v>
      </c>
    </row>
    <row r="2841" spans="1:6" ht="15.75">
      <c r="A2841" s="22" t="s">
        <v>1442</v>
      </c>
      <c r="B2841" s="23">
        <v>43247</v>
      </c>
      <c r="C2841" s="24">
        <v>0</v>
      </c>
      <c r="D2841" s="25" t="str">
        <f t="shared" si="88"/>
        <v>201821</v>
      </c>
      <c r="E2841" s="22" t="str">
        <f t="shared" ca="1" si="89"/>
        <v>201805</v>
      </c>
      <c r="F2841" s="22">
        <v>2018</v>
      </c>
    </row>
    <row r="2842" spans="1:6" ht="15.75">
      <c r="A2842" s="22" t="s">
        <v>1441</v>
      </c>
      <c r="B2842" s="26">
        <v>43247</v>
      </c>
      <c r="C2842" s="27">
        <v>0</v>
      </c>
      <c r="D2842" s="25" t="str">
        <f t="shared" si="88"/>
        <v>201821</v>
      </c>
      <c r="E2842" s="22" t="str">
        <f t="shared" ca="1" si="89"/>
        <v>201805</v>
      </c>
      <c r="F2842" s="22">
        <v>2018</v>
      </c>
    </row>
    <row r="2843" spans="1:6" ht="15.75">
      <c r="A2843" s="22" t="s">
        <v>1442</v>
      </c>
      <c r="B2843" s="23">
        <v>43248</v>
      </c>
      <c r="C2843" s="24">
        <v>231.97</v>
      </c>
      <c r="D2843" s="25" t="str">
        <f t="shared" si="88"/>
        <v>201822</v>
      </c>
      <c r="E2843" s="22" t="str">
        <f t="shared" ca="1" si="89"/>
        <v>201805</v>
      </c>
      <c r="F2843" s="22">
        <v>2018</v>
      </c>
    </row>
    <row r="2844" spans="1:6" ht="15.75">
      <c r="A2844" s="22" t="s">
        <v>1442</v>
      </c>
      <c r="B2844" s="23">
        <v>43248</v>
      </c>
      <c r="C2844" s="24">
        <v>0</v>
      </c>
      <c r="D2844" s="25" t="str">
        <f t="shared" si="88"/>
        <v>201822</v>
      </c>
      <c r="E2844" s="22" t="str">
        <f t="shared" ca="1" si="89"/>
        <v>201805</v>
      </c>
      <c r="F2844" s="22">
        <v>2018</v>
      </c>
    </row>
    <row r="2845" spans="1:6" ht="15.75">
      <c r="A2845" s="22" t="s">
        <v>1441</v>
      </c>
      <c r="B2845" s="26">
        <v>43248</v>
      </c>
      <c r="C2845" s="27">
        <v>0</v>
      </c>
      <c r="D2845" s="25" t="str">
        <f t="shared" si="88"/>
        <v>201822</v>
      </c>
      <c r="E2845" s="22" t="str">
        <f t="shared" ca="1" si="89"/>
        <v>201805</v>
      </c>
      <c r="F2845" s="22">
        <v>2018</v>
      </c>
    </row>
    <row r="2846" spans="1:6" ht="15.75">
      <c r="A2846" s="22" t="s">
        <v>1442</v>
      </c>
      <c r="B2846" s="23">
        <v>43249</v>
      </c>
      <c r="C2846" s="24">
        <v>210.82</v>
      </c>
      <c r="D2846" s="25" t="str">
        <f t="shared" si="88"/>
        <v>201822</v>
      </c>
      <c r="E2846" s="22" t="str">
        <f t="shared" ca="1" si="89"/>
        <v>201805</v>
      </c>
      <c r="F2846" s="22">
        <v>2018</v>
      </c>
    </row>
    <row r="2847" spans="1:6" ht="15.75">
      <c r="A2847" s="22" t="s">
        <v>1442</v>
      </c>
      <c r="B2847" s="23">
        <v>43249</v>
      </c>
      <c r="C2847" s="24">
        <v>0</v>
      </c>
      <c r="D2847" s="25" t="str">
        <f t="shared" si="88"/>
        <v>201822</v>
      </c>
      <c r="E2847" s="22" t="str">
        <f t="shared" ca="1" si="89"/>
        <v>201805</v>
      </c>
      <c r="F2847" s="22">
        <v>2018</v>
      </c>
    </row>
    <row r="2848" spans="1:6" ht="15.75">
      <c r="A2848" s="22" t="s">
        <v>1441</v>
      </c>
      <c r="B2848" s="26">
        <v>43249</v>
      </c>
      <c r="C2848" s="27">
        <v>0</v>
      </c>
      <c r="D2848" s="25" t="str">
        <f t="shared" si="88"/>
        <v>201822</v>
      </c>
      <c r="E2848" s="22" t="str">
        <f t="shared" ca="1" si="89"/>
        <v>201805</v>
      </c>
      <c r="F2848" s="22">
        <v>2018</v>
      </c>
    </row>
    <row r="2849" spans="1:6" ht="15.75">
      <c r="A2849" s="22" t="s">
        <v>1442</v>
      </c>
      <c r="B2849" s="23">
        <v>43250</v>
      </c>
      <c r="C2849" s="24">
        <v>265.02</v>
      </c>
      <c r="D2849" s="25" t="str">
        <f t="shared" si="88"/>
        <v>201822</v>
      </c>
      <c r="E2849" s="22" t="str">
        <f t="shared" ca="1" si="89"/>
        <v>201805</v>
      </c>
      <c r="F2849" s="22">
        <v>2018</v>
      </c>
    </row>
    <row r="2850" spans="1:6" ht="15.75">
      <c r="A2850" s="22" t="s">
        <v>1442</v>
      </c>
      <c r="B2850" s="23">
        <v>43250</v>
      </c>
      <c r="C2850" s="24">
        <v>0</v>
      </c>
      <c r="D2850" s="25" t="str">
        <f t="shared" si="88"/>
        <v>201822</v>
      </c>
      <c r="E2850" s="22" t="str">
        <f t="shared" ca="1" si="89"/>
        <v>201805</v>
      </c>
      <c r="F2850" s="22">
        <v>2018</v>
      </c>
    </row>
    <row r="2851" spans="1:6" ht="15.75">
      <c r="A2851" s="22" t="s">
        <v>1441</v>
      </c>
      <c r="B2851" s="26">
        <v>43250</v>
      </c>
      <c r="C2851" s="27">
        <v>0</v>
      </c>
      <c r="D2851" s="25" t="str">
        <f t="shared" si="88"/>
        <v>201822</v>
      </c>
      <c r="E2851" s="22" t="str">
        <f t="shared" ca="1" si="89"/>
        <v>201805</v>
      </c>
      <c r="F2851" s="22">
        <v>2018</v>
      </c>
    </row>
    <row r="2852" spans="1:6" ht="15.75">
      <c r="A2852" s="22" t="s">
        <v>1442</v>
      </c>
      <c r="B2852" s="23">
        <v>43251</v>
      </c>
      <c r="C2852" s="24">
        <v>256.12</v>
      </c>
      <c r="D2852" s="25" t="str">
        <f t="shared" si="88"/>
        <v>201822</v>
      </c>
      <c r="E2852" s="22" t="str">
        <f t="shared" ca="1" si="89"/>
        <v>201805</v>
      </c>
      <c r="F2852" s="22">
        <v>2018</v>
      </c>
    </row>
    <row r="2853" spans="1:6" ht="15.75">
      <c r="A2853" s="22" t="s">
        <v>1442</v>
      </c>
      <c r="B2853" s="23">
        <v>43251</v>
      </c>
      <c r="C2853" s="24">
        <v>0</v>
      </c>
      <c r="D2853" s="25" t="str">
        <f t="shared" si="88"/>
        <v>201822</v>
      </c>
      <c r="E2853" s="22" t="str">
        <f t="shared" ca="1" si="89"/>
        <v>201805</v>
      </c>
      <c r="F2853" s="22">
        <v>2018</v>
      </c>
    </row>
    <row r="2854" spans="1:6" ht="15.75">
      <c r="A2854" s="22" t="s">
        <v>1441</v>
      </c>
      <c r="B2854" s="26">
        <v>43251</v>
      </c>
      <c r="C2854" s="27">
        <v>0</v>
      </c>
      <c r="D2854" s="25" t="str">
        <f t="shared" si="88"/>
        <v>201822</v>
      </c>
      <c r="E2854" s="22" t="str">
        <f t="shared" ca="1" si="89"/>
        <v>201805</v>
      </c>
      <c r="F2854" s="22">
        <v>2018</v>
      </c>
    </row>
    <row r="2855" spans="1:6" ht="15.75">
      <c r="A2855" s="22" t="s">
        <v>1442</v>
      </c>
      <c r="B2855" s="23">
        <v>43252</v>
      </c>
      <c r="C2855" s="24">
        <v>176.09</v>
      </c>
      <c r="D2855" s="25" t="str">
        <f t="shared" si="88"/>
        <v>201822</v>
      </c>
      <c r="E2855" s="22" t="str">
        <f t="shared" ca="1" si="89"/>
        <v>201806</v>
      </c>
      <c r="F2855" s="22">
        <v>2018</v>
      </c>
    </row>
    <row r="2856" spans="1:6" ht="15.75">
      <c r="A2856" s="22" t="s">
        <v>1442</v>
      </c>
      <c r="B2856" s="23">
        <v>43252</v>
      </c>
      <c r="C2856" s="24">
        <v>0</v>
      </c>
      <c r="D2856" s="25" t="str">
        <f t="shared" si="88"/>
        <v>201822</v>
      </c>
      <c r="E2856" s="22" t="str">
        <f t="shared" ca="1" si="89"/>
        <v>201806</v>
      </c>
      <c r="F2856" s="22">
        <v>2018</v>
      </c>
    </row>
    <row r="2857" spans="1:6" ht="15.75">
      <c r="A2857" s="22" t="s">
        <v>1441</v>
      </c>
      <c r="B2857" s="26">
        <v>43252</v>
      </c>
      <c r="C2857" s="27">
        <v>0</v>
      </c>
      <c r="D2857" s="25" t="str">
        <f t="shared" si="88"/>
        <v>201822</v>
      </c>
      <c r="E2857" s="22" t="str">
        <f t="shared" ca="1" si="89"/>
        <v>201806</v>
      </c>
      <c r="F2857" s="22">
        <v>2018</v>
      </c>
    </row>
    <row r="2858" spans="1:6" ht="15.75">
      <c r="A2858" s="22" t="s">
        <v>1442</v>
      </c>
      <c r="B2858" s="23">
        <v>43253</v>
      </c>
      <c r="C2858" s="24">
        <v>206.08</v>
      </c>
      <c r="D2858" s="25" t="str">
        <f t="shared" si="88"/>
        <v>201822</v>
      </c>
      <c r="E2858" s="22" t="str">
        <f t="shared" ca="1" si="89"/>
        <v>201806</v>
      </c>
      <c r="F2858" s="22">
        <v>2018</v>
      </c>
    </row>
    <row r="2859" spans="1:6" ht="15.75">
      <c r="A2859" s="22" t="s">
        <v>1442</v>
      </c>
      <c r="B2859" s="23">
        <v>43253</v>
      </c>
      <c r="C2859" s="24">
        <v>0</v>
      </c>
      <c r="D2859" s="25" t="str">
        <f t="shared" si="88"/>
        <v>201822</v>
      </c>
      <c r="E2859" s="22" t="str">
        <f t="shared" ca="1" si="89"/>
        <v>201806</v>
      </c>
      <c r="F2859" s="22">
        <v>2018</v>
      </c>
    </row>
    <row r="2860" spans="1:6" ht="15.75">
      <c r="A2860" s="22" t="s">
        <v>1441</v>
      </c>
      <c r="B2860" s="26">
        <v>43253</v>
      </c>
      <c r="C2860" s="27">
        <v>0</v>
      </c>
      <c r="D2860" s="25" t="str">
        <f t="shared" si="88"/>
        <v>201822</v>
      </c>
      <c r="E2860" s="22" t="str">
        <f t="shared" ca="1" si="89"/>
        <v>201806</v>
      </c>
      <c r="F2860" s="22">
        <v>2018</v>
      </c>
    </row>
    <row r="2861" spans="1:6" ht="15.75">
      <c r="A2861" s="22" t="s">
        <v>1442</v>
      </c>
      <c r="B2861" s="23">
        <v>43254</v>
      </c>
      <c r="C2861" s="24">
        <v>296.73</v>
      </c>
      <c r="D2861" s="25" t="str">
        <f t="shared" si="88"/>
        <v>201822</v>
      </c>
      <c r="E2861" s="22" t="str">
        <f t="shared" ca="1" si="89"/>
        <v>201806</v>
      </c>
      <c r="F2861" s="22">
        <v>2018</v>
      </c>
    </row>
    <row r="2862" spans="1:6" ht="15.75">
      <c r="A2862" s="22" t="s">
        <v>1442</v>
      </c>
      <c r="B2862" s="23">
        <v>43254</v>
      </c>
      <c r="C2862" s="24">
        <v>0</v>
      </c>
      <c r="D2862" s="25" t="str">
        <f t="shared" si="88"/>
        <v>201822</v>
      </c>
      <c r="E2862" s="22" t="str">
        <f t="shared" ca="1" si="89"/>
        <v>201806</v>
      </c>
      <c r="F2862" s="22">
        <v>2018</v>
      </c>
    </row>
    <row r="2863" spans="1:6" ht="15.75">
      <c r="A2863" s="22" t="s">
        <v>1441</v>
      </c>
      <c r="B2863" s="26">
        <v>43254</v>
      </c>
      <c r="C2863" s="27">
        <v>0</v>
      </c>
      <c r="D2863" s="25" t="str">
        <f t="shared" si="88"/>
        <v>201822</v>
      </c>
      <c r="E2863" s="22" t="str">
        <f t="shared" ca="1" si="89"/>
        <v>201806</v>
      </c>
      <c r="F2863" s="22">
        <v>2018</v>
      </c>
    </row>
    <row r="2864" spans="1:6" ht="15.75">
      <c r="A2864" s="22" t="s">
        <v>1442</v>
      </c>
      <c r="B2864" s="23">
        <v>43255</v>
      </c>
      <c r="C2864" s="24">
        <v>22.92</v>
      </c>
      <c r="D2864" s="25" t="str">
        <f t="shared" si="88"/>
        <v>201823</v>
      </c>
      <c r="E2864" s="22" t="str">
        <f t="shared" ca="1" si="89"/>
        <v>201806</v>
      </c>
      <c r="F2864" s="22">
        <v>2018</v>
      </c>
    </row>
    <row r="2865" spans="1:6" ht="15.75">
      <c r="A2865" s="22" t="s">
        <v>1442</v>
      </c>
      <c r="B2865" s="23">
        <v>43255</v>
      </c>
      <c r="C2865" s="24">
        <v>0</v>
      </c>
      <c r="D2865" s="25" t="str">
        <f t="shared" si="88"/>
        <v>201823</v>
      </c>
      <c r="E2865" s="22" t="str">
        <f t="shared" ca="1" si="89"/>
        <v>201806</v>
      </c>
      <c r="F2865" s="22">
        <v>2018</v>
      </c>
    </row>
    <row r="2866" spans="1:6" ht="15.75">
      <c r="A2866" s="22" t="s">
        <v>1441</v>
      </c>
      <c r="B2866" s="26">
        <v>43255</v>
      </c>
      <c r="C2866" s="27">
        <v>0</v>
      </c>
      <c r="D2866" s="25" t="str">
        <f t="shared" si="88"/>
        <v>201823</v>
      </c>
      <c r="E2866" s="22" t="str">
        <f t="shared" ca="1" si="89"/>
        <v>201806</v>
      </c>
      <c r="F2866" s="22">
        <v>2018</v>
      </c>
    </row>
    <row r="2867" spans="1:6" ht="15.75">
      <c r="A2867" s="22" t="s">
        <v>1441</v>
      </c>
      <c r="B2867" s="26">
        <v>43256</v>
      </c>
      <c r="C2867" s="27">
        <v>0</v>
      </c>
      <c r="D2867" s="25" t="str">
        <f t="shared" si="88"/>
        <v>201823</v>
      </c>
      <c r="E2867" s="22" t="str">
        <f t="shared" ca="1" si="89"/>
        <v>201806</v>
      </c>
      <c r="F2867" s="22">
        <v>2018</v>
      </c>
    </row>
    <row r="2868" spans="1:6" ht="15.75">
      <c r="A2868" s="22" t="s">
        <v>1441</v>
      </c>
      <c r="B2868" s="26">
        <v>43257</v>
      </c>
      <c r="C2868" s="27">
        <v>0</v>
      </c>
      <c r="D2868" s="25" t="str">
        <f t="shared" si="88"/>
        <v>201823</v>
      </c>
      <c r="E2868" s="22" t="str">
        <f t="shared" ca="1" si="89"/>
        <v>201806</v>
      </c>
      <c r="F2868" s="22">
        <v>2018</v>
      </c>
    </row>
    <row r="2869" spans="1:6" ht="15.75">
      <c r="A2869" s="22" t="s">
        <v>1441</v>
      </c>
      <c r="B2869" s="26">
        <v>43258</v>
      </c>
      <c r="C2869" s="27">
        <v>0</v>
      </c>
      <c r="D2869" s="25" t="str">
        <f t="shared" si="88"/>
        <v>201823</v>
      </c>
      <c r="E2869" s="22" t="str">
        <f t="shared" ca="1" si="89"/>
        <v>201806</v>
      </c>
      <c r="F2869" s="22">
        <v>2018</v>
      </c>
    </row>
    <row r="2870" spans="1:6" ht="15.75">
      <c r="A2870" s="22" t="s">
        <v>1441</v>
      </c>
      <c r="B2870" s="26">
        <v>43259</v>
      </c>
      <c r="C2870" s="27">
        <v>0</v>
      </c>
      <c r="D2870" s="25" t="str">
        <f t="shared" si="88"/>
        <v>201823</v>
      </c>
      <c r="E2870" s="22" t="str">
        <f t="shared" ca="1" si="89"/>
        <v>201806</v>
      </c>
      <c r="F2870" s="22">
        <v>2018</v>
      </c>
    </row>
    <row r="2871" spans="1:6" ht="15.75">
      <c r="A2871" s="22" t="s">
        <v>1441</v>
      </c>
      <c r="B2871" s="26">
        <v>43260</v>
      </c>
      <c r="C2871" s="27">
        <v>0</v>
      </c>
      <c r="D2871" s="25" t="str">
        <f t="shared" si="88"/>
        <v>201823</v>
      </c>
      <c r="E2871" s="22" t="str">
        <f t="shared" ca="1" si="89"/>
        <v>201806</v>
      </c>
      <c r="F2871" s="22">
        <v>2018</v>
      </c>
    </row>
    <row r="2872" spans="1:6" ht="15.75">
      <c r="A2872" s="22" t="s">
        <v>1442</v>
      </c>
      <c r="B2872" s="23">
        <v>43261</v>
      </c>
      <c r="C2872" s="24">
        <v>0</v>
      </c>
      <c r="D2872" s="25" t="str">
        <f t="shared" si="88"/>
        <v>201823</v>
      </c>
      <c r="E2872" s="22" t="str">
        <f t="shared" ca="1" si="89"/>
        <v>201806</v>
      </c>
      <c r="F2872" s="22">
        <v>2018</v>
      </c>
    </row>
    <row r="2873" spans="1:6" ht="15.75">
      <c r="A2873" s="22" t="s">
        <v>1441</v>
      </c>
      <c r="B2873" s="26">
        <v>43261</v>
      </c>
      <c r="C2873" s="27">
        <v>0</v>
      </c>
      <c r="D2873" s="25" t="str">
        <f t="shared" si="88"/>
        <v>201823</v>
      </c>
      <c r="E2873" s="22" t="str">
        <f t="shared" ca="1" si="89"/>
        <v>201806</v>
      </c>
      <c r="F2873" s="22">
        <v>2018</v>
      </c>
    </row>
    <row r="2874" spans="1:6" ht="15.75">
      <c r="A2874" s="22" t="s">
        <v>1442</v>
      </c>
      <c r="B2874" s="23">
        <v>43262</v>
      </c>
      <c r="C2874" s="24">
        <v>0</v>
      </c>
      <c r="D2874" s="25" t="str">
        <f t="shared" si="88"/>
        <v>201824</v>
      </c>
      <c r="E2874" s="22" t="str">
        <f t="shared" ca="1" si="89"/>
        <v>201806</v>
      </c>
      <c r="F2874" s="22">
        <v>2018</v>
      </c>
    </row>
    <row r="2875" spans="1:6" ht="15.75">
      <c r="A2875" s="22" t="s">
        <v>1441</v>
      </c>
      <c r="B2875" s="26">
        <v>43262</v>
      </c>
      <c r="C2875" s="27">
        <v>0</v>
      </c>
      <c r="D2875" s="25" t="str">
        <f t="shared" si="88"/>
        <v>201824</v>
      </c>
      <c r="E2875" s="22" t="str">
        <f t="shared" ca="1" si="89"/>
        <v>201806</v>
      </c>
      <c r="F2875" s="22">
        <v>2018</v>
      </c>
    </row>
    <row r="2876" spans="1:6" ht="15.75">
      <c r="A2876" s="22" t="s">
        <v>1441</v>
      </c>
      <c r="B2876" s="26">
        <v>43263</v>
      </c>
      <c r="C2876" s="27">
        <v>0</v>
      </c>
      <c r="D2876" s="25" t="str">
        <f t="shared" si="88"/>
        <v>201824</v>
      </c>
      <c r="E2876" s="22" t="str">
        <f t="shared" ca="1" si="89"/>
        <v>201806</v>
      </c>
      <c r="F2876" s="22">
        <v>2018</v>
      </c>
    </row>
    <row r="2877" spans="1:6" ht="15.75">
      <c r="A2877" s="22" t="s">
        <v>1441</v>
      </c>
      <c r="B2877" s="26">
        <v>43264</v>
      </c>
      <c r="C2877" s="27">
        <v>0</v>
      </c>
      <c r="D2877" s="25" t="str">
        <f t="shared" si="88"/>
        <v>201824</v>
      </c>
      <c r="E2877" s="22" t="str">
        <f t="shared" ca="1" si="89"/>
        <v>201806</v>
      </c>
      <c r="F2877" s="22">
        <v>2018</v>
      </c>
    </row>
    <row r="2878" spans="1:6" ht="15.75">
      <c r="A2878" s="22" t="s">
        <v>1442</v>
      </c>
      <c r="B2878" s="23">
        <v>43265</v>
      </c>
      <c r="C2878" s="24">
        <v>110.69</v>
      </c>
      <c r="D2878" s="25" t="str">
        <f t="shared" si="88"/>
        <v>201824</v>
      </c>
      <c r="E2878" s="22" t="str">
        <f t="shared" ca="1" si="89"/>
        <v>201806</v>
      </c>
      <c r="F2878" s="22">
        <v>2018</v>
      </c>
    </row>
    <row r="2879" spans="1:6" ht="15.75">
      <c r="A2879" s="22" t="s">
        <v>1441</v>
      </c>
      <c r="B2879" s="26">
        <v>43265</v>
      </c>
      <c r="C2879" s="27">
        <v>0</v>
      </c>
      <c r="D2879" s="25" t="str">
        <f t="shared" si="88"/>
        <v>201824</v>
      </c>
      <c r="E2879" s="22" t="str">
        <f t="shared" ca="1" si="89"/>
        <v>201806</v>
      </c>
      <c r="F2879" s="22">
        <v>2018</v>
      </c>
    </row>
    <row r="2880" spans="1:6" ht="15.75">
      <c r="A2880" s="22" t="s">
        <v>1442</v>
      </c>
      <c r="B2880" s="23">
        <v>43266</v>
      </c>
      <c r="C2880" s="24">
        <v>118.98</v>
      </c>
      <c r="D2880" s="25" t="str">
        <f t="shared" si="88"/>
        <v>201824</v>
      </c>
      <c r="E2880" s="22" t="str">
        <f t="shared" ca="1" si="89"/>
        <v>201806</v>
      </c>
      <c r="F2880" s="22">
        <v>2018</v>
      </c>
    </row>
    <row r="2881" spans="1:6" ht="15.75">
      <c r="A2881" s="22" t="s">
        <v>1441</v>
      </c>
      <c r="B2881" s="26">
        <v>43266</v>
      </c>
      <c r="C2881" s="27">
        <v>0</v>
      </c>
      <c r="D2881" s="25" t="str">
        <f t="shared" si="88"/>
        <v>201824</v>
      </c>
      <c r="E2881" s="22" t="str">
        <f t="shared" ca="1" si="89"/>
        <v>201806</v>
      </c>
      <c r="F2881" s="22">
        <v>2018</v>
      </c>
    </row>
    <row r="2882" spans="1:6" ht="15.75">
      <c r="A2882" s="22" t="s">
        <v>1442</v>
      </c>
      <c r="B2882" s="23">
        <v>43267</v>
      </c>
      <c r="C2882" s="24">
        <v>122.04</v>
      </c>
      <c r="D2882" s="25" t="str">
        <f t="shared" si="88"/>
        <v>201824</v>
      </c>
      <c r="E2882" s="22" t="str">
        <f t="shared" ca="1" si="89"/>
        <v>201806</v>
      </c>
      <c r="F2882" s="22">
        <v>2018</v>
      </c>
    </row>
    <row r="2883" spans="1:6" ht="15.75">
      <c r="A2883" s="22" t="s">
        <v>1441</v>
      </c>
      <c r="B2883" s="26">
        <v>43267</v>
      </c>
      <c r="C2883" s="27">
        <v>0</v>
      </c>
      <c r="D2883" s="25" t="str">
        <f t="shared" ref="D2883:D2946" si="90">CONCATENATE(YEAR(B2883-WEEKDAY(B2883,3)+3),TEXT(WEEKNUM(B2883,21),"00"))</f>
        <v>201824</v>
      </c>
      <c r="E2883" s="22" t="str">
        <f t="shared" ref="E2883:E2946" ca="1" si="91">IF(
  AND(
    YEAR(B2883)=YEAR(TODAY())-1,
    MONTH(B2883)=MONTH(TODAY()),
    DAY(B2883)&gt;DAY($H$2)
  ),
  0,
  CONCATENATE(YEAR(B2883),TEXT(MONTH(B2883),"00"))
)</f>
        <v>201806</v>
      </c>
      <c r="F2883" s="22">
        <v>2018</v>
      </c>
    </row>
    <row r="2884" spans="1:6" ht="15.75">
      <c r="A2884" s="22" t="s">
        <v>1442</v>
      </c>
      <c r="B2884" s="23">
        <v>43268</v>
      </c>
      <c r="C2884" s="24">
        <v>191.66</v>
      </c>
      <c r="D2884" s="25" t="str">
        <f t="shared" si="90"/>
        <v>201824</v>
      </c>
      <c r="E2884" s="22" t="str">
        <f t="shared" ca="1" si="91"/>
        <v>201806</v>
      </c>
      <c r="F2884" s="22">
        <v>2018</v>
      </c>
    </row>
    <row r="2885" spans="1:6" ht="15.75">
      <c r="A2885" s="22" t="s">
        <v>1441</v>
      </c>
      <c r="B2885" s="26">
        <v>43268</v>
      </c>
      <c r="C2885" s="27">
        <v>0</v>
      </c>
      <c r="D2885" s="25" t="str">
        <f t="shared" si="90"/>
        <v>201824</v>
      </c>
      <c r="E2885" s="22" t="str">
        <f t="shared" ca="1" si="91"/>
        <v>201806</v>
      </c>
      <c r="F2885" s="22">
        <v>2018</v>
      </c>
    </row>
    <row r="2886" spans="1:6" ht="15.75">
      <c r="A2886" s="22" t="s">
        <v>1442</v>
      </c>
      <c r="B2886" s="23">
        <v>43269</v>
      </c>
      <c r="C2886" s="24">
        <v>144.37</v>
      </c>
      <c r="D2886" s="25" t="str">
        <f t="shared" si="90"/>
        <v>201825</v>
      </c>
      <c r="E2886" s="22" t="str">
        <f t="shared" ca="1" si="91"/>
        <v>201806</v>
      </c>
      <c r="F2886" s="22">
        <v>2018</v>
      </c>
    </row>
    <row r="2887" spans="1:6" ht="15.75">
      <c r="A2887" s="22" t="s">
        <v>1442</v>
      </c>
      <c r="B2887" s="23">
        <v>43269</v>
      </c>
      <c r="C2887" s="24">
        <v>0</v>
      </c>
      <c r="D2887" s="25" t="str">
        <f t="shared" si="90"/>
        <v>201825</v>
      </c>
      <c r="E2887" s="22" t="str">
        <f t="shared" ca="1" si="91"/>
        <v>201806</v>
      </c>
      <c r="F2887" s="22">
        <v>2018</v>
      </c>
    </row>
    <row r="2888" spans="1:6" ht="15.75">
      <c r="A2888" s="22" t="s">
        <v>1441</v>
      </c>
      <c r="B2888" s="26">
        <v>43269</v>
      </c>
      <c r="C2888" s="27">
        <v>0</v>
      </c>
      <c r="D2888" s="25" t="str">
        <f t="shared" si="90"/>
        <v>201825</v>
      </c>
      <c r="E2888" s="22" t="str">
        <f t="shared" ca="1" si="91"/>
        <v>201806</v>
      </c>
      <c r="F2888" s="22">
        <v>2018</v>
      </c>
    </row>
    <row r="2889" spans="1:6" ht="15.75">
      <c r="A2889" s="22" t="s">
        <v>1442</v>
      </c>
      <c r="B2889" s="23">
        <v>43270</v>
      </c>
      <c r="C2889" s="24">
        <v>247.08</v>
      </c>
      <c r="D2889" s="25" t="str">
        <f t="shared" si="90"/>
        <v>201825</v>
      </c>
      <c r="E2889" s="22" t="str">
        <f t="shared" ca="1" si="91"/>
        <v>201806</v>
      </c>
      <c r="F2889" s="22">
        <v>2018</v>
      </c>
    </row>
    <row r="2890" spans="1:6" ht="15.75">
      <c r="A2890" s="22" t="s">
        <v>1442</v>
      </c>
      <c r="B2890" s="23">
        <v>43270</v>
      </c>
      <c r="C2890" s="24">
        <v>0</v>
      </c>
      <c r="D2890" s="25" t="str">
        <f t="shared" si="90"/>
        <v>201825</v>
      </c>
      <c r="E2890" s="22" t="str">
        <f t="shared" ca="1" si="91"/>
        <v>201806</v>
      </c>
      <c r="F2890" s="22">
        <v>2018</v>
      </c>
    </row>
    <row r="2891" spans="1:6" ht="15.75">
      <c r="A2891" s="22" t="s">
        <v>1441</v>
      </c>
      <c r="B2891" s="26">
        <v>43270</v>
      </c>
      <c r="C2891" s="27">
        <v>0</v>
      </c>
      <c r="D2891" s="25" t="str">
        <f t="shared" si="90"/>
        <v>201825</v>
      </c>
      <c r="E2891" s="22" t="str">
        <f t="shared" ca="1" si="91"/>
        <v>201806</v>
      </c>
      <c r="F2891" s="22">
        <v>2018</v>
      </c>
    </row>
    <row r="2892" spans="1:6" ht="15.75">
      <c r="A2892" s="22" t="s">
        <v>1442</v>
      </c>
      <c r="B2892" s="23">
        <v>43271</v>
      </c>
      <c r="C2892" s="24">
        <v>276.39999999999998</v>
      </c>
      <c r="D2892" s="25" t="str">
        <f t="shared" si="90"/>
        <v>201825</v>
      </c>
      <c r="E2892" s="22" t="str">
        <f t="shared" ca="1" si="91"/>
        <v>201806</v>
      </c>
      <c r="F2892" s="22">
        <v>2018</v>
      </c>
    </row>
    <row r="2893" spans="1:6" ht="15.75">
      <c r="A2893" s="22" t="s">
        <v>1442</v>
      </c>
      <c r="B2893" s="23">
        <v>43271</v>
      </c>
      <c r="C2893" s="24">
        <v>0</v>
      </c>
      <c r="D2893" s="25" t="str">
        <f t="shared" si="90"/>
        <v>201825</v>
      </c>
      <c r="E2893" s="22" t="str">
        <f t="shared" ca="1" si="91"/>
        <v>201806</v>
      </c>
      <c r="F2893" s="22">
        <v>2018</v>
      </c>
    </row>
    <row r="2894" spans="1:6" ht="15.75">
      <c r="A2894" s="22" t="s">
        <v>1441</v>
      </c>
      <c r="B2894" s="26">
        <v>43271</v>
      </c>
      <c r="C2894" s="27">
        <v>0</v>
      </c>
      <c r="D2894" s="25" t="str">
        <f t="shared" si="90"/>
        <v>201825</v>
      </c>
      <c r="E2894" s="22" t="str">
        <f t="shared" ca="1" si="91"/>
        <v>201806</v>
      </c>
      <c r="F2894" s="22">
        <v>2018</v>
      </c>
    </row>
    <row r="2895" spans="1:6" ht="15.75">
      <c r="A2895" s="22" t="s">
        <v>1442</v>
      </c>
      <c r="B2895" s="23">
        <v>43272</v>
      </c>
      <c r="C2895" s="24">
        <v>257.54000000000002</v>
      </c>
      <c r="D2895" s="25" t="str">
        <f t="shared" si="90"/>
        <v>201825</v>
      </c>
      <c r="E2895" s="22" t="str">
        <f t="shared" ca="1" si="91"/>
        <v>201806</v>
      </c>
      <c r="F2895" s="22">
        <v>2018</v>
      </c>
    </row>
    <row r="2896" spans="1:6" ht="15.75">
      <c r="A2896" s="22" t="s">
        <v>1442</v>
      </c>
      <c r="B2896" s="23">
        <v>43272</v>
      </c>
      <c r="C2896" s="24">
        <v>0</v>
      </c>
      <c r="D2896" s="25" t="str">
        <f t="shared" si="90"/>
        <v>201825</v>
      </c>
      <c r="E2896" s="22" t="str">
        <f t="shared" ca="1" si="91"/>
        <v>201806</v>
      </c>
      <c r="F2896" s="22">
        <v>2018</v>
      </c>
    </row>
    <row r="2897" spans="1:6" ht="15.75">
      <c r="A2897" s="22" t="s">
        <v>1441</v>
      </c>
      <c r="B2897" s="26">
        <v>43272</v>
      </c>
      <c r="C2897" s="27">
        <v>0</v>
      </c>
      <c r="D2897" s="25" t="str">
        <f t="shared" si="90"/>
        <v>201825</v>
      </c>
      <c r="E2897" s="22" t="str">
        <f t="shared" ca="1" si="91"/>
        <v>201806</v>
      </c>
      <c r="F2897" s="22">
        <v>2018</v>
      </c>
    </row>
    <row r="2898" spans="1:6" ht="15.75">
      <c r="A2898" s="22" t="s">
        <v>1442</v>
      </c>
      <c r="B2898" s="23">
        <v>43273</v>
      </c>
      <c r="C2898" s="24">
        <v>218.51</v>
      </c>
      <c r="D2898" s="25" t="str">
        <f t="shared" si="90"/>
        <v>201825</v>
      </c>
      <c r="E2898" s="22" t="str">
        <f t="shared" ca="1" si="91"/>
        <v>201806</v>
      </c>
      <c r="F2898" s="22">
        <v>2018</v>
      </c>
    </row>
    <row r="2899" spans="1:6" ht="15.75">
      <c r="A2899" s="22" t="s">
        <v>1442</v>
      </c>
      <c r="B2899" s="23">
        <v>43273</v>
      </c>
      <c r="C2899" s="24">
        <v>0</v>
      </c>
      <c r="D2899" s="25" t="str">
        <f t="shared" si="90"/>
        <v>201825</v>
      </c>
      <c r="E2899" s="22" t="str">
        <f t="shared" ca="1" si="91"/>
        <v>201806</v>
      </c>
      <c r="F2899" s="22">
        <v>2018</v>
      </c>
    </row>
    <row r="2900" spans="1:6" ht="15.75">
      <c r="A2900" s="22" t="s">
        <v>1441</v>
      </c>
      <c r="B2900" s="26">
        <v>43273</v>
      </c>
      <c r="C2900" s="27">
        <v>0</v>
      </c>
      <c r="D2900" s="25" t="str">
        <f t="shared" si="90"/>
        <v>201825</v>
      </c>
      <c r="E2900" s="22" t="str">
        <f t="shared" ca="1" si="91"/>
        <v>201806</v>
      </c>
      <c r="F2900" s="22">
        <v>2018</v>
      </c>
    </row>
    <row r="2901" spans="1:6" ht="15.75">
      <c r="A2901" s="22" t="s">
        <v>1442</v>
      </c>
      <c r="B2901" s="23">
        <v>43274</v>
      </c>
      <c r="C2901" s="24">
        <v>232.47</v>
      </c>
      <c r="D2901" s="25" t="str">
        <f t="shared" si="90"/>
        <v>201825</v>
      </c>
      <c r="E2901" s="22" t="str">
        <f t="shared" ca="1" si="91"/>
        <v>201806</v>
      </c>
      <c r="F2901" s="22">
        <v>2018</v>
      </c>
    </row>
    <row r="2902" spans="1:6" ht="15.75">
      <c r="A2902" s="22" t="s">
        <v>1442</v>
      </c>
      <c r="B2902" s="23">
        <v>43274</v>
      </c>
      <c r="C2902" s="24">
        <v>0</v>
      </c>
      <c r="D2902" s="25" t="str">
        <f t="shared" si="90"/>
        <v>201825</v>
      </c>
      <c r="E2902" s="22" t="str">
        <f t="shared" ca="1" si="91"/>
        <v>201806</v>
      </c>
      <c r="F2902" s="22">
        <v>2018</v>
      </c>
    </row>
    <row r="2903" spans="1:6" ht="15.75">
      <c r="A2903" s="22" t="s">
        <v>1441</v>
      </c>
      <c r="B2903" s="26">
        <v>43274</v>
      </c>
      <c r="C2903" s="27">
        <v>0</v>
      </c>
      <c r="D2903" s="25" t="str">
        <f t="shared" si="90"/>
        <v>201825</v>
      </c>
      <c r="E2903" s="22" t="str">
        <f t="shared" ca="1" si="91"/>
        <v>201806</v>
      </c>
      <c r="F2903" s="22">
        <v>2018</v>
      </c>
    </row>
    <row r="2904" spans="1:6" ht="15.75">
      <c r="A2904" s="22" t="s">
        <v>1442</v>
      </c>
      <c r="B2904" s="23">
        <v>43275</v>
      </c>
      <c r="C2904" s="24">
        <v>337.97</v>
      </c>
      <c r="D2904" s="25" t="str">
        <f t="shared" si="90"/>
        <v>201825</v>
      </c>
      <c r="E2904" s="22" t="str">
        <f t="shared" ca="1" si="91"/>
        <v>201806</v>
      </c>
      <c r="F2904" s="22">
        <v>2018</v>
      </c>
    </row>
    <row r="2905" spans="1:6" ht="15.75">
      <c r="A2905" s="22" t="s">
        <v>1442</v>
      </c>
      <c r="B2905" s="23">
        <v>43275</v>
      </c>
      <c r="C2905" s="24">
        <v>0</v>
      </c>
      <c r="D2905" s="25" t="str">
        <f t="shared" si="90"/>
        <v>201825</v>
      </c>
      <c r="E2905" s="22" t="str">
        <f t="shared" ca="1" si="91"/>
        <v>201806</v>
      </c>
      <c r="F2905" s="22">
        <v>2018</v>
      </c>
    </row>
    <row r="2906" spans="1:6" ht="15.75">
      <c r="A2906" s="22" t="s">
        <v>1441</v>
      </c>
      <c r="B2906" s="26">
        <v>43275</v>
      </c>
      <c r="C2906" s="27">
        <v>0</v>
      </c>
      <c r="D2906" s="25" t="str">
        <f t="shared" si="90"/>
        <v>201825</v>
      </c>
      <c r="E2906" s="22" t="str">
        <f t="shared" ca="1" si="91"/>
        <v>201806</v>
      </c>
      <c r="F2906" s="22">
        <v>2018</v>
      </c>
    </row>
    <row r="2907" spans="1:6" ht="15.75">
      <c r="A2907" s="22" t="s">
        <v>1442</v>
      </c>
      <c r="B2907" s="23">
        <v>43276</v>
      </c>
      <c r="C2907" s="24">
        <v>313.75</v>
      </c>
      <c r="D2907" s="25" t="str">
        <f t="shared" si="90"/>
        <v>201826</v>
      </c>
      <c r="E2907" s="22" t="str">
        <f t="shared" ca="1" si="91"/>
        <v>201806</v>
      </c>
      <c r="F2907" s="22">
        <v>2018</v>
      </c>
    </row>
    <row r="2908" spans="1:6" ht="15.75">
      <c r="A2908" s="22" t="s">
        <v>1442</v>
      </c>
      <c r="B2908" s="23">
        <v>43276</v>
      </c>
      <c r="C2908" s="24">
        <v>0</v>
      </c>
      <c r="D2908" s="25" t="str">
        <f t="shared" si="90"/>
        <v>201826</v>
      </c>
      <c r="E2908" s="22" t="str">
        <f t="shared" ca="1" si="91"/>
        <v>201806</v>
      </c>
      <c r="F2908" s="22">
        <v>2018</v>
      </c>
    </row>
    <row r="2909" spans="1:6" ht="15.75">
      <c r="A2909" s="22" t="s">
        <v>1441</v>
      </c>
      <c r="B2909" s="26">
        <v>43276</v>
      </c>
      <c r="C2909" s="27">
        <v>0</v>
      </c>
      <c r="D2909" s="25" t="str">
        <f t="shared" si="90"/>
        <v>201826</v>
      </c>
      <c r="E2909" s="22" t="str">
        <f t="shared" ca="1" si="91"/>
        <v>201806</v>
      </c>
      <c r="F2909" s="22">
        <v>2018</v>
      </c>
    </row>
    <row r="2910" spans="1:6" ht="15.75">
      <c r="A2910" s="22" t="s">
        <v>1442</v>
      </c>
      <c r="B2910" s="23">
        <v>43277</v>
      </c>
      <c r="C2910" s="24">
        <v>256.01</v>
      </c>
      <c r="D2910" s="25" t="str">
        <f t="shared" si="90"/>
        <v>201826</v>
      </c>
      <c r="E2910" s="22" t="str">
        <f t="shared" ca="1" si="91"/>
        <v>201806</v>
      </c>
      <c r="F2910" s="22">
        <v>2018</v>
      </c>
    </row>
    <row r="2911" spans="1:6" ht="15.75">
      <c r="A2911" s="22" t="s">
        <v>1442</v>
      </c>
      <c r="B2911" s="23">
        <v>43277</v>
      </c>
      <c r="C2911" s="24">
        <v>0</v>
      </c>
      <c r="D2911" s="25" t="str">
        <f t="shared" si="90"/>
        <v>201826</v>
      </c>
      <c r="E2911" s="22" t="str">
        <f t="shared" ca="1" si="91"/>
        <v>201806</v>
      </c>
      <c r="F2911" s="22">
        <v>2018</v>
      </c>
    </row>
    <row r="2912" spans="1:6" ht="15.75">
      <c r="A2912" s="22" t="s">
        <v>1441</v>
      </c>
      <c r="B2912" s="26">
        <v>43277</v>
      </c>
      <c r="C2912" s="27">
        <v>0</v>
      </c>
      <c r="D2912" s="25" t="str">
        <f t="shared" si="90"/>
        <v>201826</v>
      </c>
      <c r="E2912" s="22" t="str">
        <f t="shared" ca="1" si="91"/>
        <v>201806</v>
      </c>
      <c r="F2912" s="22">
        <v>2018</v>
      </c>
    </row>
    <row r="2913" spans="1:6" ht="15.75">
      <c r="A2913" s="22" t="s">
        <v>1442</v>
      </c>
      <c r="B2913" s="23">
        <v>43278</v>
      </c>
      <c r="C2913" s="24">
        <v>266.57</v>
      </c>
      <c r="D2913" s="25" t="str">
        <f t="shared" si="90"/>
        <v>201826</v>
      </c>
      <c r="E2913" s="22" t="str">
        <f t="shared" ca="1" si="91"/>
        <v>201806</v>
      </c>
      <c r="F2913" s="22">
        <v>2018</v>
      </c>
    </row>
    <row r="2914" spans="1:6" ht="15.75">
      <c r="A2914" s="22" t="s">
        <v>1442</v>
      </c>
      <c r="B2914" s="23">
        <v>43278</v>
      </c>
      <c r="C2914" s="24">
        <v>0</v>
      </c>
      <c r="D2914" s="25" t="str">
        <f t="shared" si="90"/>
        <v>201826</v>
      </c>
      <c r="E2914" s="22" t="str">
        <f t="shared" ca="1" si="91"/>
        <v>201806</v>
      </c>
      <c r="F2914" s="22">
        <v>2018</v>
      </c>
    </row>
    <row r="2915" spans="1:6" ht="15.75">
      <c r="A2915" s="22" t="s">
        <v>1441</v>
      </c>
      <c r="B2915" s="26">
        <v>43278</v>
      </c>
      <c r="C2915" s="27">
        <v>0</v>
      </c>
      <c r="D2915" s="25" t="str">
        <f t="shared" si="90"/>
        <v>201826</v>
      </c>
      <c r="E2915" s="22" t="str">
        <f t="shared" ca="1" si="91"/>
        <v>201806</v>
      </c>
      <c r="F2915" s="22">
        <v>2018</v>
      </c>
    </row>
    <row r="2916" spans="1:6" ht="15.75">
      <c r="A2916" s="22" t="s">
        <v>1442</v>
      </c>
      <c r="B2916" s="23">
        <v>43279</v>
      </c>
      <c r="C2916" s="24">
        <v>233.83</v>
      </c>
      <c r="D2916" s="25" t="str">
        <f t="shared" si="90"/>
        <v>201826</v>
      </c>
      <c r="E2916" s="22" t="str">
        <f t="shared" ca="1" si="91"/>
        <v>201806</v>
      </c>
      <c r="F2916" s="22">
        <v>2018</v>
      </c>
    </row>
    <row r="2917" spans="1:6" ht="15.75">
      <c r="A2917" s="22" t="s">
        <v>1442</v>
      </c>
      <c r="B2917" s="23">
        <v>43279</v>
      </c>
      <c r="C2917" s="24">
        <v>0</v>
      </c>
      <c r="D2917" s="25" t="str">
        <f t="shared" si="90"/>
        <v>201826</v>
      </c>
      <c r="E2917" s="22" t="str">
        <f t="shared" ca="1" si="91"/>
        <v>201806</v>
      </c>
      <c r="F2917" s="22">
        <v>2018</v>
      </c>
    </row>
    <row r="2918" spans="1:6" ht="15.75">
      <c r="A2918" s="22" t="s">
        <v>1441</v>
      </c>
      <c r="B2918" s="26">
        <v>43279</v>
      </c>
      <c r="C2918" s="27">
        <v>0</v>
      </c>
      <c r="D2918" s="25" t="str">
        <f t="shared" si="90"/>
        <v>201826</v>
      </c>
      <c r="E2918" s="22" t="str">
        <f t="shared" ca="1" si="91"/>
        <v>201806</v>
      </c>
      <c r="F2918" s="22">
        <v>2018</v>
      </c>
    </row>
    <row r="2919" spans="1:6" ht="15.75">
      <c r="A2919" s="22" t="s">
        <v>1442</v>
      </c>
      <c r="B2919" s="23">
        <v>43280</v>
      </c>
      <c r="C2919" s="24">
        <v>186.82</v>
      </c>
      <c r="D2919" s="25" t="str">
        <f t="shared" si="90"/>
        <v>201826</v>
      </c>
      <c r="E2919" s="22" t="str">
        <f t="shared" ca="1" si="91"/>
        <v>201806</v>
      </c>
      <c r="F2919" s="22">
        <v>2018</v>
      </c>
    </row>
    <row r="2920" spans="1:6" ht="15.75">
      <c r="A2920" s="22" t="s">
        <v>1442</v>
      </c>
      <c r="B2920" s="23">
        <v>43280</v>
      </c>
      <c r="C2920" s="24">
        <v>0</v>
      </c>
      <c r="D2920" s="25" t="str">
        <f t="shared" si="90"/>
        <v>201826</v>
      </c>
      <c r="E2920" s="22" t="str">
        <f t="shared" ca="1" si="91"/>
        <v>201806</v>
      </c>
      <c r="F2920" s="22">
        <v>2018</v>
      </c>
    </row>
    <row r="2921" spans="1:6" ht="15.75">
      <c r="A2921" s="22" t="s">
        <v>1441</v>
      </c>
      <c r="B2921" s="26">
        <v>43280</v>
      </c>
      <c r="C2921" s="27">
        <v>0</v>
      </c>
      <c r="D2921" s="25" t="str">
        <f t="shared" si="90"/>
        <v>201826</v>
      </c>
      <c r="E2921" s="22" t="str">
        <f t="shared" ca="1" si="91"/>
        <v>201806</v>
      </c>
      <c r="F2921" s="22">
        <v>2018</v>
      </c>
    </row>
    <row r="2922" spans="1:6" ht="15.75">
      <c r="A2922" s="22" t="s">
        <v>1442</v>
      </c>
      <c r="B2922" s="23">
        <v>43281</v>
      </c>
      <c r="C2922" s="24">
        <v>205.55</v>
      </c>
      <c r="D2922" s="25" t="str">
        <f t="shared" si="90"/>
        <v>201826</v>
      </c>
      <c r="E2922" s="22" t="str">
        <f t="shared" ca="1" si="91"/>
        <v>201806</v>
      </c>
      <c r="F2922" s="22">
        <v>2018</v>
      </c>
    </row>
    <row r="2923" spans="1:6" ht="15.75">
      <c r="A2923" s="22" t="s">
        <v>1442</v>
      </c>
      <c r="B2923" s="23">
        <v>43281</v>
      </c>
      <c r="C2923" s="24">
        <v>0</v>
      </c>
      <c r="D2923" s="25" t="str">
        <f t="shared" si="90"/>
        <v>201826</v>
      </c>
      <c r="E2923" s="22" t="str">
        <f t="shared" ca="1" si="91"/>
        <v>201806</v>
      </c>
      <c r="F2923" s="22">
        <v>2018</v>
      </c>
    </row>
    <row r="2924" spans="1:6" ht="15.75">
      <c r="A2924" s="22" t="s">
        <v>1441</v>
      </c>
      <c r="B2924" s="26">
        <v>43281</v>
      </c>
      <c r="C2924" s="27">
        <v>0</v>
      </c>
      <c r="D2924" s="25" t="str">
        <f t="shared" si="90"/>
        <v>201826</v>
      </c>
      <c r="E2924" s="22" t="str">
        <f t="shared" ca="1" si="91"/>
        <v>201806</v>
      </c>
      <c r="F2924" s="22">
        <v>2018</v>
      </c>
    </row>
    <row r="2925" spans="1:6" ht="15.75">
      <c r="A2925" s="22" t="s">
        <v>1442</v>
      </c>
      <c r="B2925" s="23">
        <v>43282</v>
      </c>
      <c r="C2925" s="24">
        <v>404.05</v>
      </c>
      <c r="D2925" s="25" t="str">
        <f t="shared" si="90"/>
        <v>201826</v>
      </c>
      <c r="E2925" s="22" t="str">
        <f t="shared" ca="1" si="91"/>
        <v>201807</v>
      </c>
      <c r="F2925" s="22">
        <v>2018</v>
      </c>
    </row>
    <row r="2926" spans="1:6" ht="15.75">
      <c r="A2926" s="22" t="s">
        <v>1442</v>
      </c>
      <c r="B2926" s="23">
        <v>43282</v>
      </c>
      <c r="C2926" s="24">
        <v>0</v>
      </c>
      <c r="D2926" s="25" t="str">
        <f t="shared" si="90"/>
        <v>201826</v>
      </c>
      <c r="E2926" s="22" t="str">
        <f t="shared" ca="1" si="91"/>
        <v>201807</v>
      </c>
      <c r="F2926" s="22">
        <v>2018</v>
      </c>
    </row>
    <row r="2927" spans="1:6" ht="15.75">
      <c r="A2927" s="22" t="s">
        <v>1441</v>
      </c>
      <c r="B2927" s="26">
        <v>43282</v>
      </c>
      <c r="C2927" s="27">
        <v>0</v>
      </c>
      <c r="D2927" s="25" t="str">
        <f t="shared" si="90"/>
        <v>201826</v>
      </c>
      <c r="E2927" s="22" t="str">
        <f t="shared" ca="1" si="91"/>
        <v>201807</v>
      </c>
      <c r="F2927" s="22">
        <v>2018</v>
      </c>
    </row>
    <row r="2928" spans="1:6" ht="15.75">
      <c r="A2928" s="22" t="s">
        <v>1442</v>
      </c>
      <c r="B2928" s="23">
        <v>43283</v>
      </c>
      <c r="C2928" s="24">
        <v>322.64999999999998</v>
      </c>
      <c r="D2928" s="25" t="str">
        <f t="shared" si="90"/>
        <v>201827</v>
      </c>
      <c r="E2928" s="22" t="str">
        <f t="shared" ca="1" si="91"/>
        <v>201807</v>
      </c>
      <c r="F2928" s="22">
        <v>2018</v>
      </c>
    </row>
    <row r="2929" spans="1:6" ht="15.75">
      <c r="A2929" s="22" t="s">
        <v>1442</v>
      </c>
      <c r="B2929" s="23">
        <v>43283</v>
      </c>
      <c r="C2929" s="24">
        <v>0</v>
      </c>
      <c r="D2929" s="25" t="str">
        <f t="shared" si="90"/>
        <v>201827</v>
      </c>
      <c r="E2929" s="22" t="str">
        <f t="shared" ca="1" si="91"/>
        <v>201807</v>
      </c>
      <c r="F2929" s="22">
        <v>2018</v>
      </c>
    </row>
    <row r="2930" spans="1:6" ht="15.75">
      <c r="A2930" s="22" t="s">
        <v>1441</v>
      </c>
      <c r="B2930" s="26">
        <v>43283</v>
      </c>
      <c r="C2930" s="27">
        <v>0</v>
      </c>
      <c r="D2930" s="25" t="str">
        <f t="shared" si="90"/>
        <v>201827</v>
      </c>
      <c r="E2930" s="22" t="str">
        <f t="shared" ca="1" si="91"/>
        <v>201807</v>
      </c>
      <c r="F2930" s="22">
        <v>2018</v>
      </c>
    </row>
    <row r="2931" spans="1:6" ht="15.75">
      <c r="A2931" s="22" t="s">
        <v>1442</v>
      </c>
      <c r="B2931" s="23">
        <v>43284</v>
      </c>
      <c r="C2931" s="24">
        <v>288.56</v>
      </c>
      <c r="D2931" s="25" t="str">
        <f t="shared" si="90"/>
        <v>201827</v>
      </c>
      <c r="E2931" s="22" t="str">
        <f t="shared" ca="1" si="91"/>
        <v>201807</v>
      </c>
      <c r="F2931" s="22">
        <v>2018</v>
      </c>
    </row>
    <row r="2932" spans="1:6" ht="15.75">
      <c r="A2932" s="22" t="s">
        <v>1442</v>
      </c>
      <c r="B2932" s="23">
        <v>43284</v>
      </c>
      <c r="C2932" s="24">
        <v>0</v>
      </c>
      <c r="D2932" s="25" t="str">
        <f t="shared" si="90"/>
        <v>201827</v>
      </c>
      <c r="E2932" s="22" t="str">
        <f t="shared" ca="1" si="91"/>
        <v>201807</v>
      </c>
      <c r="F2932" s="22">
        <v>2018</v>
      </c>
    </row>
    <row r="2933" spans="1:6" ht="15.75">
      <c r="A2933" s="22" t="s">
        <v>1441</v>
      </c>
      <c r="B2933" s="26">
        <v>43284</v>
      </c>
      <c r="C2933" s="27">
        <v>0</v>
      </c>
      <c r="D2933" s="25" t="str">
        <f t="shared" si="90"/>
        <v>201827</v>
      </c>
      <c r="E2933" s="22" t="str">
        <f t="shared" ca="1" si="91"/>
        <v>201807</v>
      </c>
      <c r="F2933" s="22">
        <v>2018</v>
      </c>
    </row>
    <row r="2934" spans="1:6" ht="15.75">
      <c r="A2934" s="22" t="s">
        <v>1442</v>
      </c>
      <c r="B2934" s="23">
        <v>43285</v>
      </c>
      <c r="C2934" s="24">
        <v>243.16</v>
      </c>
      <c r="D2934" s="25" t="str">
        <f t="shared" si="90"/>
        <v>201827</v>
      </c>
      <c r="E2934" s="22" t="str">
        <f t="shared" ca="1" si="91"/>
        <v>201807</v>
      </c>
      <c r="F2934" s="22">
        <v>2018</v>
      </c>
    </row>
    <row r="2935" spans="1:6" ht="15.75">
      <c r="A2935" s="22" t="s">
        <v>1442</v>
      </c>
      <c r="B2935" s="23">
        <v>43285</v>
      </c>
      <c r="C2935" s="24">
        <v>0</v>
      </c>
      <c r="D2935" s="25" t="str">
        <f t="shared" si="90"/>
        <v>201827</v>
      </c>
      <c r="E2935" s="22" t="str">
        <f t="shared" ca="1" si="91"/>
        <v>201807</v>
      </c>
      <c r="F2935" s="22">
        <v>2018</v>
      </c>
    </row>
    <row r="2936" spans="1:6" ht="15.75">
      <c r="A2936" s="22" t="s">
        <v>1441</v>
      </c>
      <c r="B2936" s="26">
        <v>43285</v>
      </c>
      <c r="C2936" s="27">
        <v>0</v>
      </c>
      <c r="D2936" s="25" t="str">
        <f t="shared" si="90"/>
        <v>201827</v>
      </c>
      <c r="E2936" s="22" t="str">
        <f t="shared" ca="1" si="91"/>
        <v>201807</v>
      </c>
      <c r="F2936" s="22">
        <v>2018</v>
      </c>
    </row>
    <row r="2937" spans="1:6" ht="15.75">
      <c r="A2937" s="22" t="s">
        <v>1442</v>
      </c>
      <c r="B2937" s="23">
        <v>43286</v>
      </c>
      <c r="C2937" s="24">
        <v>264.86</v>
      </c>
      <c r="D2937" s="25" t="str">
        <f t="shared" si="90"/>
        <v>201827</v>
      </c>
      <c r="E2937" s="22" t="str">
        <f t="shared" ca="1" si="91"/>
        <v>201807</v>
      </c>
      <c r="F2937" s="22">
        <v>2018</v>
      </c>
    </row>
    <row r="2938" spans="1:6" ht="15.75">
      <c r="A2938" s="22" t="s">
        <v>1442</v>
      </c>
      <c r="B2938" s="23">
        <v>43286</v>
      </c>
      <c r="C2938" s="24">
        <v>0</v>
      </c>
      <c r="D2938" s="25" t="str">
        <f t="shared" si="90"/>
        <v>201827</v>
      </c>
      <c r="E2938" s="22" t="str">
        <f t="shared" ca="1" si="91"/>
        <v>201807</v>
      </c>
      <c r="F2938" s="22">
        <v>2018</v>
      </c>
    </row>
    <row r="2939" spans="1:6" ht="15.75">
      <c r="A2939" s="22" t="s">
        <v>1441</v>
      </c>
      <c r="B2939" s="26">
        <v>43286</v>
      </c>
      <c r="C2939" s="27">
        <v>0</v>
      </c>
      <c r="D2939" s="25" t="str">
        <f t="shared" si="90"/>
        <v>201827</v>
      </c>
      <c r="E2939" s="22" t="str">
        <f t="shared" ca="1" si="91"/>
        <v>201807</v>
      </c>
      <c r="F2939" s="22">
        <v>2018</v>
      </c>
    </row>
    <row r="2940" spans="1:6" ht="15.75">
      <c r="A2940" s="22" t="s">
        <v>1442</v>
      </c>
      <c r="B2940" s="23">
        <v>43287</v>
      </c>
      <c r="C2940" s="24">
        <v>219.27</v>
      </c>
      <c r="D2940" s="25" t="str">
        <f t="shared" si="90"/>
        <v>201827</v>
      </c>
      <c r="E2940" s="22" t="str">
        <f t="shared" ca="1" si="91"/>
        <v>201807</v>
      </c>
      <c r="F2940" s="22">
        <v>2018</v>
      </c>
    </row>
    <row r="2941" spans="1:6" ht="15.75">
      <c r="A2941" s="22" t="s">
        <v>1442</v>
      </c>
      <c r="B2941" s="23">
        <v>43287</v>
      </c>
      <c r="C2941" s="24">
        <v>0</v>
      </c>
      <c r="D2941" s="25" t="str">
        <f t="shared" si="90"/>
        <v>201827</v>
      </c>
      <c r="E2941" s="22" t="str">
        <f t="shared" ca="1" si="91"/>
        <v>201807</v>
      </c>
      <c r="F2941" s="22">
        <v>2018</v>
      </c>
    </row>
    <row r="2942" spans="1:6" ht="15.75">
      <c r="A2942" s="22" t="s">
        <v>1441</v>
      </c>
      <c r="B2942" s="26">
        <v>43287</v>
      </c>
      <c r="C2942" s="27">
        <v>0</v>
      </c>
      <c r="D2942" s="25" t="str">
        <f t="shared" si="90"/>
        <v>201827</v>
      </c>
      <c r="E2942" s="22" t="str">
        <f t="shared" ca="1" si="91"/>
        <v>201807</v>
      </c>
      <c r="F2942" s="22">
        <v>2018</v>
      </c>
    </row>
    <row r="2943" spans="1:6" ht="15.75">
      <c r="A2943" s="22" t="s">
        <v>1442</v>
      </c>
      <c r="B2943" s="23">
        <v>43288</v>
      </c>
      <c r="C2943" s="24">
        <v>156.13</v>
      </c>
      <c r="D2943" s="25" t="str">
        <f t="shared" si="90"/>
        <v>201827</v>
      </c>
      <c r="E2943" s="22" t="str">
        <f t="shared" ca="1" si="91"/>
        <v>201807</v>
      </c>
      <c r="F2943" s="22">
        <v>2018</v>
      </c>
    </row>
    <row r="2944" spans="1:6" ht="15.75">
      <c r="A2944" s="22" t="s">
        <v>1442</v>
      </c>
      <c r="B2944" s="23">
        <v>43288</v>
      </c>
      <c r="C2944" s="24">
        <v>0</v>
      </c>
      <c r="D2944" s="25" t="str">
        <f t="shared" si="90"/>
        <v>201827</v>
      </c>
      <c r="E2944" s="22" t="str">
        <f t="shared" ca="1" si="91"/>
        <v>201807</v>
      </c>
      <c r="F2944" s="22">
        <v>2018</v>
      </c>
    </row>
    <row r="2945" spans="1:6" ht="15.75">
      <c r="A2945" s="22" t="s">
        <v>1441</v>
      </c>
      <c r="B2945" s="26">
        <v>43288</v>
      </c>
      <c r="C2945" s="27">
        <v>0</v>
      </c>
      <c r="D2945" s="25" t="str">
        <f t="shared" si="90"/>
        <v>201827</v>
      </c>
      <c r="E2945" s="22" t="str">
        <f t="shared" ca="1" si="91"/>
        <v>201807</v>
      </c>
      <c r="F2945" s="22">
        <v>2018</v>
      </c>
    </row>
    <row r="2946" spans="1:6" ht="15.75">
      <c r="A2946" s="22" t="s">
        <v>1442</v>
      </c>
      <c r="B2946" s="23">
        <v>43289</v>
      </c>
      <c r="C2946" s="24">
        <v>274.83</v>
      </c>
      <c r="D2946" s="25" t="str">
        <f t="shared" si="90"/>
        <v>201827</v>
      </c>
      <c r="E2946" s="22" t="str">
        <f t="shared" ca="1" si="91"/>
        <v>201807</v>
      </c>
      <c r="F2946" s="22">
        <v>2018</v>
      </c>
    </row>
    <row r="2947" spans="1:6" ht="15.75">
      <c r="A2947" s="22" t="s">
        <v>1442</v>
      </c>
      <c r="B2947" s="23">
        <v>43289</v>
      </c>
      <c r="C2947" s="24">
        <v>0</v>
      </c>
      <c r="D2947" s="25" t="str">
        <f t="shared" ref="D2947:D3010" si="92">CONCATENATE(YEAR(B2947-WEEKDAY(B2947,3)+3),TEXT(WEEKNUM(B2947,21),"00"))</f>
        <v>201827</v>
      </c>
      <c r="E2947" s="22" t="str">
        <f t="shared" ref="E2947:E3010" ca="1" si="93">IF(
  AND(
    YEAR(B2947)=YEAR(TODAY())-1,
    MONTH(B2947)=MONTH(TODAY()),
    DAY(B2947)&gt;DAY($H$2)
  ),
  0,
  CONCATENATE(YEAR(B2947),TEXT(MONTH(B2947),"00"))
)</f>
        <v>201807</v>
      </c>
      <c r="F2947" s="22">
        <v>2018</v>
      </c>
    </row>
    <row r="2948" spans="1:6" ht="15.75">
      <c r="A2948" s="22" t="s">
        <v>1441</v>
      </c>
      <c r="B2948" s="26">
        <v>43289</v>
      </c>
      <c r="C2948" s="27">
        <v>0</v>
      </c>
      <c r="D2948" s="25" t="str">
        <f t="shared" si="92"/>
        <v>201827</v>
      </c>
      <c r="E2948" s="22" t="str">
        <f t="shared" ca="1" si="93"/>
        <v>201807</v>
      </c>
      <c r="F2948" s="22">
        <v>2018</v>
      </c>
    </row>
    <row r="2949" spans="1:6" ht="15.75">
      <c r="A2949" s="22" t="s">
        <v>1442</v>
      </c>
      <c r="B2949" s="23">
        <v>43290</v>
      </c>
      <c r="C2949" s="24">
        <v>251.91</v>
      </c>
      <c r="D2949" s="25" t="str">
        <f t="shared" si="92"/>
        <v>201828</v>
      </c>
      <c r="E2949" s="22" t="str">
        <f t="shared" ca="1" si="93"/>
        <v>201807</v>
      </c>
      <c r="F2949" s="22">
        <v>2018</v>
      </c>
    </row>
    <row r="2950" spans="1:6" ht="15.75">
      <c r="A2950" s="22" t="s">
        <v>1442</v>
      </c>
      <c r="B2950" s="23">
        <v>43290</v>
      </c>
      <c r="C2950" s="24">
        <v>0.38</v>
      </c>
      <c r="D2950" s="25" t="str">
        <f t="shared" si="92"/>
        <v>201828</v>
      </c>
      <c r="E2950" s="22" t="str">
        <f t="shared" ca="1" si="93"/>
        <v>201807</v>
      </c>
      <c r="F2950" s="22">
        <v>2018</v>
      </c>
    </row>
    <row r="2951" spans="1:6" ht="15.75">
      <c r="A2951" s="22" t="s">
        <v>1441</v>
      </c>
      <c r="B2951" s="26">
        <v>43290</v>
      </c>
      <c r="C2951" s="27">
        <v>11.89</v>
      </c>
      <c r="D2951" s="25" t="str">
        <f t="shared" si="92"/>
        <v>201828</v>
      </c>
      <c r="E2951" s="22" t="str">
        <f t="shared" ca="1" si="93"/>
        <v>201807</v>
      </c>
      <c r="F2951" s="22">
        <v>2018</v>
      </c>
    </row>
    <row r="2952" spans="1:6" ht="15.75">
      <c r="A2952" s="22" t="s">
        <v>1442</v>
      </c>
      <c r="B2952" s="23">
        <v>43291</v>
      </c>
      <c r="C2952" s="24">
        <v>247.72</v>
      </c>
      <c r="D2952" s="25" t="str">
        <f t="shared" si="92"/>
        <v>201828</v>
      </c>
      <c r="E2952" s="22" t="str">
        <f t="shared" ca="1" si="93"/>
        <v>201807</v>
      </c>
      <c r="F2952" s="22">
        <v>2018</v>
      </c>
    </row>
    <row r="2953" spans="1:6" ht="15.75">
      <c r="A2953" s="22" t="s">
        <v>1442</v>
      </c>
      <c r="B2953" s="23">
        <v>43291</v>
      </c>
      <c r="C2953" s="24">
        <v>0</v>
      </c>
      <c r="D2953" s="25" t="str">
        <f t="shared" si="92"/>
        <v>201828</v>
      </c>
      <c r="E2953" s="22" t="str">
        <f t="shared" ca="1" si="93"/>
        <v>201807</v>
      </c>
      <c r="F2953" s="22">
        <v>2018</v>
      </c>
    </row>
    <row r="2954" spans="1:6" ht="15.75">
      <c r="A2954" s="22" t="s">
        <v>1441</v>
      </c>
      <c r="B2954" s="26">
        <v>43291</v>
      </c>
      <c r="C2954" s="27">
        <v>22.15</v>
      </c>
      <c r="D2954" s="25" t="str">
        <f t="shared" si="92"/>
        <v>201828</v>
      </c>
      <c r="E2954" s="22" t="str">
        <f t="shared" ca="1" si="93"/>
        <v>201807</v>
      </c>
      <c r="F2954" s="22">
        <v>2018</v>
      </c>
    </row>
    <row r="2955" spans="1:6" ht="15.75">
      <c r="A2955" s="22" t="s">
        <v>1442</v>
      </c>
      <c r="B2955" s="23">
        <v>43292</v>
      </c>
      <c r="C2955" s="24">
        <v>195.06</v>
      </c>
      <c r="D2955" s="25" t="str">
        <f t="shared" si="92"/>
        <v>201828</v>
      </c>
      <c r="E2955" s="22" t="str">
        <f t="shared" ca="1" si="93"/>
        <v>201807</v>
      </c>
      <c r="F2955" s="22">
        <v>2018</v>
      </c>
    </row>
    <row r="2956" spans="1:6" ht="15.75">
      <c r="A2956" s="22" t="s">
        <v>1441</v>
      </c>
      <c r="B2956" s="26">
        <v>43292</v>
      </c>
      <c r="C2956" s="27">
        <v>10.94</v>
      </c>
      <c r="D2956" s="25" t="str">
        <f t="shared" si="92"/>
        <v>201828</v>
      </c>
      <c r="E2956" s="22" t="str">
        <f t="shared" ca="1" si="93"/>
        <v>201807</v>
      </c>
      <c r="F2956" s="22">
        <v>2018</v>
      </c>
    </row>
    <row r="2957" spans="1:6" ht="15.75">
      <c r="A2957" s="22" t="s">
        <v>1442</v>
      </c>
      <c r="B2957" s="23">
        <v>43293</v>
      </c>
      <c r="C2957" s="24">
        <v>222.75</v>
      </c>
      <c r="D2957" s="25" t="str">
        <f t="shared" si="92"/>
        <v>201828</v>
      </c>
      <c r="E2957" s="22" t="str">
        <f t="shared" ca="1" si="93"/>
        <v>201807</v>
      </c>
      <c r="F2957" s="22">
        <v>2018</v>
      </c>
    </row>
    <row r="2958" spans="1:6" ht="15.75">
      <c r="A2958" s="22" t="s">
        <v>1442</v>
      </c>
      <c r="B2958" s="23">
        <v>43293</v>
      </c>
      <c r="C2958" s="24">
        <v>0</v>
      </c>
      <c r="D2958" s="25" t="str">
        <f t="shared" si="92"/>
        <v>201828</v>
      </c>
      <c r="E2958" s="22" t="str">
        <f t="shared" ca="1" si="93"/>
        <v>201807</v>
      </c>
      <c r="F2958" s="22">
        <v>2018</v>
      </c>
    </row>
    <row r="2959" spans="1:6" ht="15.75">
      <c r="A2959" s="22" t="s">
        <v>1441</v>
      </c>
      <c r="B2959" s="26">
        <v>43293</v>
      </c>
      <c r="C2959" s="27">
        <v>0</v>
      </c>
      <c r="D2959" s="25" t="str">
        <f t="shared" si="92"/>
        <v>201828</v>
      </c>
      <c r="E2959" s="22" t="str">
        <f t="shared" ca="1" si="93"/>
        <v>201807</v>
      </c>
      <c r="F2959" s="22">
        <v>2018</v>
      </c>
    </row>
    <row r="2960" spans="1:6" ht="15.75">
      <c r="A2960" s="22" t="s">
        <v>1442</v>
      </c>
      <c r="B2960" s="23">
        <v>43294</v>
      </c>
      <c r="C2960" s="24">
        <v>205.53</v>
      </c>
      <c r="D2960" s="25" t="str">
        <f t="shared" si="92"/>
        <v>201828</v>
      </c>
      <c r="E2960" s="22" t="str">
        <f t="shared" ca="1" si="93"/>
        <v>201807</v>
      </c>
      <c r="F2960" s="22">
        <v>2018</v>
      </c>
    </row>
    <row r="2961" spans="1:6" ht="15.75">
      <c r="A2961" s="22" t="s">
        <v>1441</v>
      </c>
      <c r="B2961" s="26">
        <v>43294</v>
      </c>
      <c r="C2961" s="27">
        <v>0</v>
      </c>
      <c r="D2961" s="25" t="str">
        <f t="shared" si="92"/>
        <v>201828</v>
      </c>
      <c r="E2961" s="22" t="str">
        <f t="shared" ca="1" si="93"/>
        <v>201807</v>
      </c>
      <c r="F2961" s="22">
        <v>2018</v>
      </c>
    </row>
    <row r="2962" spans="1:6" ht="15.75">
      <c r="A2962" s="22" t="s">
        <v>1442</v>
      </c>
      <c r="B2962" s="23">
        <v>43295</v>
      </c>
      <c r="C2962" s="24">
        <v>232.11</v>
      </c>
      <c r="D2962" s="25" t="str">
        <f t="shared" si="92"/>
        <v>201828</v>
      </c>
      <c r="E2962" s="22" t="str">
        <f t="shared" ca="1" si="93"/>
        <v>201807</v>
      </c>
      <c r="F2962" s="22">
        <v>2018</v>
      </c>
    </row>
    <row r="2963" spans="1:6" ht="15.75">
      <c r="A2963" s="22" t="s">
        <v>1442</v>
      </c>
      <c r="B2963" s="23">
        <v>43295</v>
      </c>
      <c r="C2963" s="24">
        <v>0</v>
      </c>
      <c r="D2963" s="25" t="str">
        <f t="shared" si="92"/>
        <v>201828</v>
      </c>
      <c r="E2963" s="22" t="str">
        <f t="shared" ca="1" si="93"/>
        <v>201807</v>
      </c>
      <c r="F2963" s="22">
        <v>2018</v>
      </c>
    </row>
    <row r="2964" spans="1:6" ht="15.75">
      <c r="A2964" s="22" t="s">
        <v>1441</v>
      </c>
      <c r="B2964" s="26">
        <v>43295</v>
      </c>
      <c r="C2964" s="27">
        <v>0</v>
      </c>
      <c r="D2964" s="25" t="str">
        <f t="shared" si="92"/>
        <v>201828</v>
      </c>
      <c r="E2964" s="22" t="str">
        <f t="shared" ca="1" si="93"/>
        <v>201807</v>
      </c>
      <c r="F2964" s="22">
        <v>2018</v>
      </c>
    </row>
    <row r="2965" spans="1:6" ht="15.75">
      <c r="A2965" s="22" t="s">
        <v>1442</v>
      </c>
      <c r="B2965" s="23">
        <v>43296</v>
      </c>
      <c r="C2965" s="24">
        <v>344.35</v>
      </c>
      <c r="D2965" s="25" t="str">
        <f t="shared" si="92"/>
        <v>201828</v>
      </c>
      <c r="E2965" s="22" t="str">
        <f t="shared" ca="1" si="93"/>
        <v>201807</v>
      </c>
      <c r="F2965" s="22">
        <v>2018</v>
      </c>
    </row>
    <row r="2966" spans="1:6" ht="15.75">
      <c r="A2966" s="22" t="s">
        <v>1442</v>
      </c>
      <c r="B2966" s="23">
        <v>43296</v>
      </c>
      <c r="C2966" s="24">
        <v>0</v>
      </c>
      <c r="D2966" s="25" t="str">
        <f t="shared" si="92"/>
        <v>201828</v>
      </c>
      <c r="E2966" s="22" t="str">
        <f t="shared" ca="1" si="93"/>
        <v>201807</v>
      </c>
      <c r="F2966" s="22">
        <v>2018</v>
      </c>
    </row>
    <row r="2967" spans="1:6" ht="15.75">
      <c r="A2967" s="22" t="s">
        <v>1441</v>
      </c>
      <c r="B2967" s="26">
        <v>43296</v>
      </c>
      <c r="C2967" s="27">
        <v>0</v>
      </c>
      <c r="D2967" s="25" t="str">
        <f t="shared" si="92"/>
        <v>201828</v>
      </c>
      <c r="E2967" s="22" t="str">
        <f t="shared" ca="1" si="93"/>
        <v>201807</v>
      </c>
      <c r="F2967" s="22">
        <v>2018</v>
      </c>
    </row>
    <row r="2968" spans="1:6" ht="15.75">
      <c r="A2968" s="22" t="s">
        <v>1442</v>
      </c>
      <c r="B2968" s="23">
        <v>43297</v>
      </c>
      <c r="C2968" s="24">
        <v>306.49</v>
      </c>
      <c r="D2968" s="25" t="str">
        <f t="shared" si="92"/>
        <v>201829</v>
      </c>
      <c r="E2968" s="22" t="str">
        <f t="shared" ca="1" si="93"/>
        <v>201807</v>
      </c>
      <c r="F2968" s="22">
        <v>2018</v>
      </c>
    </row>
    <row r="2969" spans="1:6" ht="15.75">
      <c r="A2969" s="22" t="s">
        <v>1442</v>
      </c>
      <c r="B2969" s="23">
        <v>43297</v>
      </c>
      <c r="C2969" s="24">
        <v>0</v>
      </c>
      <c r="D2969" s="25" t="str">
        <f t="shared" si="92"/>
        <v>201829</v>
      </c>
      <c r="E2969" s="22" t="str">
        <f t="shared" ca="1" si="93"/>
        <v>201807</v>
      </c>
      <c r="F2969" s="22">
        <v>2018</v>
      </c>
    </row>
    <row r="2970" spans="1:6" ht="15.75">
      <c r="A2970" s="22" t="s">
        <v>1441</v>
      </c>
      <c r="B2970" s="26">
        <v>43297</v>
      </c>
      <c r="C2970" s="27">
        <v>0</v>
      </c>
      <c r="D2970" s="25" t="str">
        <f t="shared" si="92"/>
        <v>201829</v>
      </c>
      <c r="E2970" s="22" t="str">
        <f t="shared" ca="1" si="93"/>
        <v>201807</v>
      </c>
      <c r="F2970" s="22">
        <v>2018</v>
      </c>
    </row>
    <row r="2971" spans="1:6" ht="15.75">
      <c r="A2971" s="22" t="s">
        <v>1442</v>
      </c>
      <c r="B2971" s="23">
        <v>43298</v>
      </c>
      <c r="C2971" s="24">
        <v>275.26</v>
      </c>
      <c r="D2971" s="25" t="str">
        <f t="shared" si="92"/>
        <v>201829</v>
      </c>
      <c r="E2971" s="22" t="str">
        <f t="shared" ca="1" si="93"/>
        <v>201807</v>
      </c>
      <c r="F2971" s="22">
        <v>2018</v>
      </c>
    </row>
    <row r="2972" spans="1:6" ht="15.75">
      <c r="A2972" s="22" t="s">
        <v>1442</v>
      </c>
      <c r="B2972" s="23">
        <v>43298</v>
      </c>
      <c r="C2972" s="24">
        <v>0.22</v>
      </c>
      <c r="D2972" s="25" t="str">
        <f t="shared" si="92"/>
        <v>201829</v>
      </c>
      <c r="E2972" s="22" t="str">
        <f t="shared" ca="1" si="93"/>
        <v>201807</v>
      </c>
      <c r="F2972" s="22">
        <v>2018</v>
      </c>
    </row>
    <row r="2973" spans="1:6" ht="15.75">
      <c r="A2973" s="22" t="s">
        <v>1441</v>
      </c>
      <c r="B2973" s="26">
        <v>43298</v>
      </c>
      <c r="C2973" s="27">
        <v>0</v>
      </c>
      <c r="D2973" s="25" t="str">
        <f t="shared" si="92"/>
        <v>201829</v>
      </c>
      <c r="E2973" s="22" t="str">
        <f t="shared" ca="1" si="93"/>
        <v>201807</v>
      </c>
      <c r="F2973" s="22">
        <v>2018</v>
      </c>
    </row>
    <row r="2974" spans="1:6" ht="15.75">
      <c r="A2974" s="22" t="s">
        <v>1442</v>
      </c>
      <c r="B2974" s="23">
        <v>43299</v>
      </c>
      <c r="C2974" s="24">
        <v>228.08</v>
      </c>
      <c r="D2974" s="25" t="str">
        <f t="shared" si="92"/>
        <v>201829</v>
      </c>
      <c r="E2974" s="22" t="str">
        <f t="shared" ca="1" si="93"/>
        <v>201807</v>
      </c>
      <c r="F2974" s="22">
        <v>2018</v>
      </c>
    </row>
    <row r="2975" spans="1:6" ht="15.75">
      <c r="A2975" s="22" t="s">
        <v>1442</v>
      </c>
      <c r="B2975" s="23">
        <v>43299</v>
      </c>
      <c r="C2975" s="24">
        <v>0</v>
      </c>
      <c r="D2975" s="25" t="str">
        <f t="shared" si="92"/>
        <v>201829</v>
      </c>
      <c r="E2975" s="22" t="str">
        <f t="shared" ca="1" si="93"/>
        <v>201807</v>
      </c>
      <c r="F2975" s="22">
        <v>2018</v>
      </c>
    </row>
    <row r="2976" spans="1:6" ht="15.75">
      <c r="A2976" s="22" t="s">
        <v>1441</v>
      </c>
      <c r="B2976" s="26">
        <v>43299</v>
      </c>
      <c r="C2976" s="27">
        <v>0</v>
      </c>
      <c r="D2976" s="25" t="str">
        <f t="shared" si="92"/>
        <v>201829</v>
      </c>
      <c r="E2976" s="22" t="str">
        <f t="shared" ca="1" si="93"/>
        <v>201807</v>
      </c>
      <c r="F2976" s="22">
        <v>2018</v>
      </c>
    </row>
    <row r="2977" spans="1:6" ht="15.75">
      <c r="A2977" s="22" t="s">
        <v>1442</v>
      </c>
      <c r="B2977" s="23">
        <v>43300</v>
      </c>
      <c r="C2977" s="24">
        <v>184.26</v>
      </c>
      <c r="D2977" s="25" t="str">
        <f t="shared" si="92"/>
        <v>201829</v>
      </c>
      <c r="E2977" s="22" t="str">
        <f t="shared" ca="1" si="93"/>
        <v>201807</v>
      </c>
      <c r="F2977" s="22">
        <v>2018</v>
      </c>
    </row>
    <row r="2978" spans="1:6" ht="15.75">
      <c r="A2978" s="22" t="s">
        <v>1442</v>
      </c>
      <c r="B2978" s="23">
        <v>43300</v>
      </c>
      <c r="C2978" s="24">
        <v>0</v>
      </c>
      <c r="D2978" s="25" t="str">
        <f t="shared" si="92"/>
        <v>201829</v>
      </c>
      <c r="E2978" s="22" t="str">
        <f t="shared" ca="1" si="93"/>
        <v>201807</v>
      </c>
      <c r="F2978" s="22">
        <v>2018</v>
      </c>
    </row>
    <row r="2979" spans="1:6" ht="15.75">
      <c r="A2979" s="22" t="s">
        <v>1441</v>
      </c>
      <c r="B2979" s="26">
        <v>43300</v>
      </c>
      <c r="C2979" s="27">
        <v>0</v>
      </c>
      <c r="D2979" s="25" t="str">
        <f t="shared" si="92"/>
        <v>201829</v>
      </c>
      <c r="E2979" s="22" t="str">
        <f t="shared" ca="1" si="93"/>
        <v>201807</v>
      </c>
      <c r="F2979" s="22">
        <v>2018</v>
      </c>
    </row>
    <row r="2980" spans="1:6" ht="15.75">
      <c r="A2980" s="22" t="s">
        <v>1442</v>
      </c>
      <c r="B2980" s="23">
        <v>43301</v>
      </c>
      <c r="C2980" s="24">
        <v>189.38</v>
      </c>
      <c r="D2980" s="25" t="str">
        <f t="shared" si="92"/>
        <v>201829</v>
      </c>
      <c r="E2980" s="22" t="str">
        <f t="shared" ca="1" si="93"/>
        <v>201807</v>
      </c>
      <c r="F2980" s="22">
        <v>2018</v>
      </c>
    </row>
    <row r="2981" spans="1:6" ht="15.75">
      <c r="A2981" s="22" t="s">
        <v>1442</v>
      </c>
      <c r="B2981" s="23">
        <v>43301</v>
      </c>
      <c r="C2981" s="24">
        <v>0</v>
      </c>
      <c r="D2981" s="25" t="str">
        <f t="shared" si="92"/>
        <v>201829</v>
      </c>
      <c r="E2981" s="22" t="str">
        <f t="shared" ca="1" si="93"/>
        <v>201807</v>
      </c>
      <c r="F2981" s="22">
        <v>2018</v>
      </c>
    </row>
    <row r="2982" spans="1:6" ht="15.75">
      <c r="A2982" s="22" t="s">
        <v>1441</v>
      </c>
      <c r="B2982" s="26">
        <v>43301</v>
      </c>
      <c r="C2982" s="27">
        <v>0</v>
      </c>
      <c r="D2982" s="25" t="str">
        <f t="shared" si="92"/>
        <v>201829</v>
      </c>
      <c r="E2982" s="22" t="str">
        <f t="shared" ca="1" si="93"/>
        <v>201807</v>
      </c>
      <c r="F2982" s="22">
        <v>2018</v>
      </c>
    </row>
    <row r="2983" spans="1:6" ht="15.75">
      <c r="A2983" s="22" t="s">
        <v>1442</v>
      </c>
      <c r="B2983" s="23">
        <v>43302</v>
      </c>
      <c r="C2983" s="24">
        <v>237.86</v>
      </c>
      <c r="D2983" s="25" t="str">
        <f t="shared" si="92"/>
        <v>201829</v>
      </c>
      <c r="E2983" s="22" t="str">
        <f t="shared" ca="1" si="93"/>
        <v>201807</v>
      </c>
      <c r="F2983" s="22">
        <v>2018</v>
      </c>
    </row>
    <row r="2984" spans="1:6" ht="15.75">
      <c r="A2984" s="22" t="s">
        <v>1442</v>
      </c>
      <c r="B2984" s="23">
        <v>43302</v>
      </c>
      <c r="C2984" s="24">
        <v>0</v>
      </c>
      <c r="D2984" s="25" t="str">
        <f t="shared" si="92"/>
        <v>201829</v>
      </c>
      <c r="E2984" s="22" t="str">
        <f t="shared" ca="1" si="93"/>
        <v>201807</v>
      </c>
      <c r="F2984" s="22">
        <v>2018</v>
      </c>
    </row>
    <row r="2985" spans="1:6" ht="15.75">
      <c r="A2985" s="22" t="s">
        <v>1441</v>
      </c>
      <c r="B2985" s="26">
        <v>43302</v>
      </c>
      <c r="C2985" s="27">
        <v>0</v>
      </c>
      <c r="D2985" s="25" t="str">
        <f t="shared" si="92"/>
        <v>201829</v>
      </c>
      <c r="E2985" s="22" t="str">
        <f t="shared" ca="1" si="93"/>
        <v>201807</v>
      </c>
      <c r="F2985" s="22">
        <v>2018</v>
      </c>
    </row>
    <row r="2986" spans="1:6" ht="15.75">
      <c r="A2986" s="22" t="s">
        <v>1442</v>
      </c>
      <c r="B2986" s="23">
        <v>43303</v>
      </c>
      <c r="C2986" s="24">
        <v>313.19</v>
      </c>
      <c r="D2986" s="25" t="str">
        <f t="shared" si="92"/>
        <v>201829</v>
      </c>
      <c r="E2986" s="22" t="str">
        <f t="shared" ca="1" si="93"/>
        <v>201807</v>
      </c>
      <c r="F2986" s="22">
        <v>2018</v>
      </c>
    </row>
    <row r="2987" spans="1:6" ht="15.75">
      <c r="A2987" s="22" t="s">
        <v>1442</v>
      </c>
      <c r="B2987" s="23">
        <v>43303</v>
      </c>
      <c r="C2987" s="24">
        <v>0</v>
      </c>
      <c r="D2987" s="25" t="str">
        <f t="shared" si="92"/>
        <v>201829</v>
      </c>
      <c r="E2987" s="22" t="str">
        <f t="shared" ca="1" si="93"/>
        <v>201807</v>
      </c>
      <c r="F2987" s="22">
        <v>2018</v>
      </c>
    </row>
    <row r="2988" spans="1:6" ht="15.75">
      <c r="A2988" s="22" t="s">
        <v>1441</v>
      </c>
      <c r="B2988" s="26">
        <v>43303</v>
      </c>
      <c r="C2988" s="27">
        <v>0</v>
      </c>
      <c r="D2988" s="25" t="str">
        <f t="shared" si="92"/>
        <v>201829</v>
      </c>
      <c r="E2988" s="22" t="str">
        <f t="shared" ca="1" si="93"/>
        <v>201807</v>
      </c>
      <c r="F2988" s="22">
        <v>2018</v>
      </c>
    </row>
    <row r="2989" spans="1:6" ht="15.75">
      <c r="A2989" s="22" t="s">
        <v>1442</v>
      </c>
      <c r="B2989" s="23">
        <v>43304</v>
      </c>
      <c r="C2989" s="24">
        <v>256.83</v>
      </c>
      <c r="D2989" s="25" t="str">
        <f t="shared" si="92"/>
        <v>201830</v>
      </c>
      <c r="E2989" s="22" t="str">
        <f t="shared" ca="1" si="93"/>
        <v>201807</v>
      </c>
      <c r="F2989" s="22">
        <v>2018</v>
      </c>
    </row>
    <row r="2990" spans="1:6" ht="15.75">
      <c r="A2990" s="22" t="s">
        <v>1442</v>
      </c>
      <c r="B2990" s="23">
        <v>43304</v>
      </c>
      <c r="C2990" s="24">
        <v>0.38</v>
      </c>
      <c r="D2990" s="25" t="str">
        <f t="shared" si="92"/>
        <v>201830</v>
      </c>
      <c r="E2990" s="22" t="str">
        <f t="shared" ca="1" si="93"/>
        <v>201807</v>
      </c>
      <c r="F2990" s="22">
        <v>2018</v>
      </c>
    </row>
    <row r="2991" spans="1:6" ht="15.75">
      <c r="A2991" s="22" t="s">
        <v>1441</v>
      </c>
      <c r="B2991" s="26">
        <v>43304</v>
      </c>
      <c r="C2991" s="27">
        <v>0</v>
      </c>
      <c r="D2991" s="25" t="str">
        <f t="shared" si="92"/>
        <v>201830</v>
      </c>
      <c r="E2991" s="22" t="str">
        <f t="shared" ca="1" si="93"/>
        <v>201807</v>
      </c>
      <c r="F2991" s="22">
        <v>2018</v>
      </c>
    </row>
    <row r="2992" spans="1:6" ht="15.75">
      <c r="A2992" s="22" t="s">
        <v>1442</v>
      </c>
      <c r="B2992" s="23">
        <v>43305</v>
      </c>
      <c r="C2992" s="24">
        <v>206</v>
      </c>
      <c r="D2992" s="25" t="str">
        <f t="shared" si="92"/>
        <v>201830</v>
      </c>
      <c r="E2992" s="22" t="str">
        <f t="shared" ca="1" si="93"/>
        <v>201807</v>
      </c>
      <c r="F2992" s="22">
        <v>2018</v>
      </c>
    </row>
    <row r="2993" spans="1:6" ht="15.75">
      <c r="A2993" s="22" t="s">
        <v>1442</v>
      </c>
      <c r="B2993" s="23">
        <v>43305</v>
      </c>
      <c r="C2993" s="24">
        <v>0</v>
      </c>
      <c r="D2993" s="25" t="str">
        <f t="shared" si="92"/>
        <v>201830</v>
      </c>
      <c r="E2993" s="22" t="str">
        <f t="shared" ca="1" si="93"/>
        <v>201807</v>
      </c>
      <c r="F2993" s="22">
        <v>2018</v>
      </c>
    </row>
    <row r="2994" spans="1:6" ht="15.75">
      <c r="A2994" s="22" t="s">
        <v>1441</v>
      </c>
      <c r="B2994" s="26">
        <v>43305</v>
      </c>
      <c r="C2994" s="27">
        <v>0</v>
      </c>
      <c r="D2994" s="25" t="str">
        <f t="shared" si="92"/>
        <v>201830</v>
      </c>
      <c r="E2994" s="22" t="str">
        <f t="shared" ca="1" si="93"/>
        <v>201807</v>
      </c>
      <c r="F2994" s="22">
        <v>2018</v>
      </c>
    </row>
    <row r="2995" spans="1:6" ht="15.75">
      <c r="A2995" s="22" t="s">
        <v>1442</v>
      </c>
      <c r="B2995" s="23">
        <v>43306</v>
      </c>
      <c r="C2995" s="24">
        <v>207.64</v>
      </c>
      <c r="D2995" s="25" t="str">
        <f t="shared" si="92"/>
        <v>201830</v>
      </c>
      <c r="E2995" s="22" t="str">
        <f t="shared" ca="1" si="93"/>
        <v>201807</v>
      </c>
      <c r="F2995" s="22">
        <v>2018</v>
      </c>
    </row>
    <row r="2996" spans="1:6" ht="15.75">
      <c r="A2996" s="22" t="s">
        <v>1442</v>
      </c>
      <c r="B2996" s="23">
        <v>43306</v>
      </c>
      <c r="C2996" s="24">
        <v>0</v>
      </c>
      <c r="D2996" s="25" t="str">
        <f t="shared" si="92"/>
        <v>201830</v>
      </c>
      <c r="E2996" s="22" t="str">
        <f t="shared" ca="1" si="93"/>
        <v>201807</v>
      </c>
      <c r="F2996" s="22">
        <v>2018</v>
      </c>
    </row>
    <row r="2997" spans="1:6" ht="15.75">
      <c r="A2997" s="22" t="s">
        <v>1441</v>
      </c>
      <c r="B2997" s="26">
        <v>43306</v>
      </c>
      <c r="C2997" s="27">
        <v>0</v>
      </c>
      <c r="D2997" s="25" t="str">
        <f t="shared" si="92"/>
        <v>201830</v>
      </c>
      <c r="E2997" s="22" t="str">
        <f t="shared" ca="1" si="93"/>
        <v>201807</v>
      </c>
      <c r="F2997" s="22">
        <v>2018</v>
      </c>
    </row>
    <row r="2998" spans="1:6" ht="15.75">
      <c r="A2998" s="22" t="s">
        <v>1442</v>
      </c>
      <c r="B2998" s="23">
        <v>43307</v>
      </c>
      <c r="C2998" s="24">
        <v>184.5</v>
      </c>
      <c r="D2998" s="25" t="str">
        <f t="shared" si="92"/>
        <v>201830</v>
      </c>
      <c r="E2998" s="22" t="str">
        <f t="shared" ca="1" si="93"/>
        <v>201807</v>
      </c>
      <c r="F2998" s="22">
        <v>2018</v>
      </c>
    </row>
    <row r="2999" spans="1:6" ht="15.75">
      <c r="A2999" s="22" t="s">
        <v>1441</v>
      </c>
      <c r="B2999" s="26">
        <v>43307</v>
      </c>
      <c r="C2999" s="27">
        <v>0</v>
      </c>
      <c r="D2999" s="25" t="str">
        <f t="shared" si="92"/>
        <v>201830</v>
      </c>
      <c r="E2999" s="22" t="str">
        <f t="shared" ca="1" si="93"/>
        <v>201807</v>
      </c>
      <c r="F2999" s="22">
        <v>2018</v>
      </c>
    </row>
    <row r="3000" spans="1:6" ht="15.75">
      <c r="A3000" s="22" t="s">
        <v>1442</v>
      </c>
      <c r="B3000" s="23">
        <v>43308</v>
      </c>
      <c r="C3000" s="24">
        <v>231.51</v>
      </c>
      <c r="D3000" s="25" t="str">
        <f t="shared" si="92"/>
        <v>201830</v>
      </c>
      <c r="E3000" s="22" t="str">
        <f t="shared" ca="1" si="93"/>
        <v>201807</v>
      </c>
      <c r="F3000" s="22">
        <v>2018</v>
      </c>
    </row>
    <row r="3001" spans="1:6" ht="15.75">
      <c r="A3001" s="22" t="s">
        <v>1442</v>
      </c>
      <c r="B3001" s="23">
        <v>43308</v>
      </c>
      <c r="C3001" s="24">
        <v>0</v>
      </c>
      <c r="D3001" s="25" t="str">
        <f t="shared" si="92"/>
        <v>201830</v>
      </c>
      <c r="E3001" s="22" t="str">
        <f t="shared" ca="1" si="93"/>
        <v>201807</v>
      </c>
      <c r="F3001" s="22">
        <v>2018</v>
      </c>
    </row>
    <row r="3002" spans="1:6" ht="15.75">
      <c r="A3002" s="22" t="s">
        <v>1441</v>
      </c>
      <c r="B3002" s="26">
        <v>43308</v>
      </c>
      <c r="C3002" s="27">
        <v>0</v>
      </c>
      <c r="D3002" s="25" t="str">
        <f t="shared" si="92"/>
        <v>201830</v>
      </c>
      <c r="E3002" s="22" t="str">
        <f t="shared" ca="1" si="93"/>
        <v>201807</v>
      </c>
      <c r="F3002" s="22">
        <v>2018</v>
      </c>
    </row>
    <row r="3003" spans="1:6" ht="15.75">
      <c r="A3003" s="22" t="s">
        <v>1442</v>
      </c>
      <c r="B3003" s="23">
        <v>43309</v>
      </c>
      <c r="C3003" s="24">
        <v>277.11</v>
      </c>
      <c r="D3003" s="25" t="str">
        <f t="shared" si="92"/>
        <v>201830</v>
      </c>
      <c r="E3003" s="22" t="str">
        <f t="shared" ca="1" si="93"/>
        <v>201807</v>
      </c>
      <c r="F3003" s="22">
        <v>2018</v>
      </c>
    </row>
    <row r="3004" spans="1:6" ht="15.75">
      <c r="A3004" s="22" t="s">
        <v>1441</v>
      </c>
      <c r="B3004" s="26">
        <v>43309</v>
      </c>
      <c r="C3004" s="27">
        <v>0</v>
      </c>
      <c r="D3004" s="25" t="str">
        <f t="shared" si="92"/>
        <v>201830</v>
      </c>
      <c r="E3004" s="22" t="str">
        <f t="shared" ca="1" si="93"/>
        <v>201807</v>
      </c>
      <c r="F3004" s="22">
        <v>2018</v>
      </c>
    </row>
    <row r="3005" spans="1:6" ht="15.75">
      <c r="A3005" s="22" t="s">
        <v>1442</v>
      </c>
      <c r="B3005" s="23">
        <v>43310</v>
      </c>
      <c r="C3005" s="24">
        <v>397.24</v>
      </c>
      <c r="D3005" s="25" t="str">
        <f t="shared" si="92"/>
        <v>201830</v>
      </c>
      <c r="E3005" s="22" t="str">
        <f t="shared" ca="1" si="93"/>
        <v>201807</v>
      </c>
      <c r="F3005" s="22">
        <v>2018</v>
      </c>
    </row>
    <row r="3006" spans="1:6" ht="15.75">
      <c r="A3006" s="22" t="s">
        <v>1441</v>
      </c>
      <c r="B3006" s="26">
        <v>43310</v>
      </c>
      <c r="C3006" s="27">
        <v>0</v>
      </c>
      <c r="D3006" s="25" t="str">
        <f t="shared" si="92"/>
        <v>201830</v>
      </c>
      <c r="E3006" s="22" t="str">
        <f t="shared" ca="1" si="93"/>
        <v>201807</v>
      </c>
      <c r="F3006" s="22">
        <v>2018</v>
      </c>
    </row>
    <row r="3007" spans="1:6" ht="15.75">
      <c r="A3007" s="22" t="s">
        <v>1442</v>
      </c>
      <c r="B3007" s="23">
        <v>43311</v>
      </c>
      <c r="C3007" s="24">
        <v>104.75</v>
      </c>
      <c r="D3007" s="25" t="str">
        <f t="shared" si="92"/>
        <v>201831</v>
      </c>
      <c r="E3007" s="22" t="str">
        <f t="shared" ca="1" si="93"/>
        <v>201807</v>
      </c>
      <c r="F3007" s="22">
        <v>2018</v>
      </c>
    </row>
    <row r="3008" spans="1:6" ht="15.75">
      <c r="A3008" s="22" t="s">
        <v>1441</v>
      </c>
      <c r="B3008" s="26">
        <v>43311</v>
      </c>
      <c r="C3008" s="27">
        <v>0</v>
      </c>
      <c r="D3008" s="25" t="str">
        <f t="shared" si="92"/>
        <v>201831</v>
      </c>
      <c r="E3008" s="22" t="str">
        <f t="shared" ca="1" si="93"/>
        <v>201807</v>
      </c>
      <c r="F3008" s="22">
        <v>2018</v>
      </c>
    </row>
    <row r="3009" spans="1:6" ht="15.75">
      <c r="A3009" s="22" t="s">
        <v>1442</v>
      </c>
      <c r="B3009" s="23">
        <v>43312</v>
      </c>
      <c r="C3009" s="24">
        <v>78.53</v>
      </c>
      <c r="D3009" s="25" t="str">
        <f t="shared" si="92"/>
        <v>201831</v>
      </c>
      <c r="E3009" s="22" t="str">
        <f t="shared" ca="1" si="93"/>
        <v>201807</v>
      </c>
      <c r="F3009" s="22">
        <v>2018</v>
      </c>
    </row>
    <row r="3010" spans="1:6" ht="15.75">
      <c r="A3010" s="22" t="s">
        <v>1441</v>
      </c>
      <c r="B3010" s="26">
        <v>43312</v>
      </c>
      <c r="C3010" s="27">
        <v>0</v>
      </c>
      <c r="D3010" s="25" t="str">
        <f t="shared" si="92"/>
        <v>201831</v>
      </c>
      <c r="E3010" s="22" t="str">
        <f t="shared" ca="1" si="93"/>
        <v>201807</v>
      </c>
      <c r="F3010" s="22">
        <v>2018</v>
      </c>
    </row>
    <row r="3011" spans="1:6" ht="15.75">
      <c r="A3011" s="22" t="s">
        <v>1442</v>
      </c>
      <c r="B3011" s="23">
        <v>43313</v>
      </c>
      <c r="C3011" s="24">
        <v>63.4</v>
      </c>
      <c r="D3011" s="25" t="str">
        <f t="shared" ref="D3011:D3074" si="94">CONCATENATE(YEAR(B3011-WEEKDAY(B3011,3)+3),TEXT(WEEKNUM(B3011,21),"00"))</f>
        <v>201831</v>
      </c>
      <c r="E3011" s="22" t="str">
        <f t="shared" ref="E3011:E3074" ca="1" si="95">IF(
  AND(
    YEAR(B3011)=YEAR(TODAY())-1,
    MONTH(B3011)=MONTH(TODAY()),
    DAY(B3011)&gt;DAY($H$2)
  ),
  0,
  CONCATENATE(YEAR(B3011),TEXT(MONTH(B3011),"00"))
)</f>
        <v>201808</v>
      </c>
      <c r="F3011" s="22">
        <v>2018</v>
      </c>
    </row>
    <row r="3012" spans="1:6" ht="15.75">
      <c r="A3012" s="22" t="s">
        <v>1442</v>
      </c>
      <c r="B3012" s="23">
        <v>43313</v>
      </c>
      <c r="C3012" s="24">
        <v>0</v>
      </c>
      <c r="D3012" s="25" t="str">
        <f t="shared" si="94"/>
        <v>201831</v>
      </c>
      <c r="E3012" s="22" t="str">
        <f t="shared" ca="1" si="95"/>
        <v>201808</v>
      </c>
      <c r="F3012" s="22">
        <v>2018</v>
      </c>
    </row>
    <row r="3013" spans="1:6" ht="15.75">
      <c r="A3013" s="22" t="s">
        <v>1441</v>
      </c>
      <c r="B3013" s="26">
        <v>43313</v>
      </c>
      <c r="C3013" s="27">
        <v>0</v>
      </c>
      <c r="D3013" s="25" t="str">
        <f t="shared" si="94"/>
        <v>201831</v>
      </c>
      <c r="E3013" s="22" t="str">
        <f t="shared" ca="1" si="95"/>
        <v>201808</v>
      </c>
      <c r="F3013" s="22">
        <v>2018</v>
      </c>
    </row>
    <row r="3014" spans="1:6" ht="15.75">
      <c r="A3014" s="22" t="s">
        <v>1442</v>
      </c>
      <c r="B3014" s="23">
        <v>43314</v>
      </c>
      <c r="C3014" s="24">
        <v>70.64</v>
      </c>
      <c r="D3014" s="25" t="str">
        <f t="shared" si="94"/>
        <v>201831</v>
      </c>
      <c r="E3014" s="22" t="str">
        <f t="shared" ca="1" si="95"/>
        <v>201808</v>
      </c>
      <c r="F3014" s="22">
        <v>2018</v>
      </c>
    </row>
    <row r="3015" spans="1:6" ht="15.75">
      <c r="A3015" s="22" t="s">
        <v>1441</v>
      </c>
      <c r="B3015" s="26">
        <v>43314</v>
      </c>
      <c r="C3015" s="27">
        <v>0</v>
      </c>
      <c r="D3015" s="25" t="str">
        <f t="shared" si="94"/>
        <v>201831</v>
      </c>
      <c r="E3015" s="22" t="str">
        <f t="shared" ca="1" si="95"/>
        <v>201808</v>
      </c>
      <c r="F3015" s="22">
        <v>2018</v>
      </c>
    </row>
    <row r="3016" spans="1:6" ht="15.75">
      <c r="A3016" s="22" t="s">
        <v>1442</v>
      </c>
      <c r="B3016" s="23">
        <v>43315</v>
      </c>
      <c r="C3016" s="24">
        <v>63.98</v>
      </c>
      <c r="D3016" s="25" t="str">
        <f t="shared" si="94"/>
        <v>201831</v>
      </c>
      <c r="E3016" s="22" t="str">
        <f t="shared" ca="1" si="95"/>
        <v>201808</v>
      </c>
      <c r="F3016" s="22">
        <v>2018</v>
      </c>
    </row>
    <row r="3017" spans="1:6" ht="15.75">
      <c r="A3017" s="22" t="s">
        <v>1441</v>
      </c>
      <c r="B3017" s="26">
        <v>43315</v>
      </c>
      <c r="C3017" s="27">
        <v>0</v>
      </c>
      <c r="D3017" s="25" t="str">
        <f t="shared" si="94"/>
        <v>201831</v>
      </c>
      <c r="E3017" s="22" t="str">
        <f t="shared" ca="1" si="95"/>
        <v>201808</v>
      </c>
      <c r="F3017" s="22">
        <v>2018</v>
      </c>
    </row>
    <row r="3018" spans="1:6" ht="15.75">
      <c r="A3018" s="22" t="s">
        <v>1442</v>
      </c>
      <c r="B3018" s="23">
        <v>43316</v>
      </c>
      <c r="C3018" s="24">
        <v>41.7</v>
      </c>
      <c r="D3018" s="25" t="str">
        <f t="shared" si="94"/>
        <v>201831</v>
      </c>
      <c r="E3018" s="22" t="str">
        <f t="shared" ca="1" si="95"/>
        <v>201808</v>
      </c>
      <c r="F3018" s="22">
        <v>2018</v>
      </c>
    </row>
    <row r="3019" spans="1:6" ht="15.75">
      <c r="A3019" s="22" t="s">
        <v>1442</v>
      </c>
      <c r="B3019" s="23">
        <v>43316</v>
      </c>
      <c r="C3019" s="24">
        <v>0</v>
      </c>
      <c r="D3019" s="25" t="str">
        <f t="shared" si="94"/>
        <v>201831</v>
      </c>
      <c r="E3019" s="22" t="str">
        <f t="shared" ca="1" si="95"/>
        <v>201808</v>
      </c>
      <c r="F3019" s="22">
        <v>2018</v>
      </c>
    </row>
    <row r="3020" spans="1:6" ht="15.75">
      <c r="A3020" s="22" t="s">
        <v>1441</v>
      </c>
      <c r="B3020" s="26">
        <v>43316</v>
      </c>
      <c r="C3020" s="27">
        <v>0</v>
      </c>
      <c r="D3020" s="25" t="str">
        <f t="shared" si="94"/>
        <v>201831</v>
      </c>
      <c r="E3020" s="22" t="str">
        <f t="shared" ca="1" si="95"/>
        <v>201808</v>
      </c>
      <c r="F3020" s="22">
        <v>2018</v>
      </c>
    </row>
    <row r="3021" spans="1:6" ht="15.75">
      <c r="A3021" s="22" t="s">
        <v>1442</v>
      </c>
      <c r="B3021" s="23">
        <v>43317</v>
      </c>
      <c r="C3021" s="24">
        <v>68.19</v>
      </c>
      <c r="D3021" s="25" t="str">
        <f t="shared" si="94"/>
        <v>201831</v>
      </c>
      <c r="E3021" s="22" t="str">
        <f t="shared" ca="1" si="95"/>
        <v>201808</v>
      </c>
      <c r="F3021" s="22">
        <v>2018</v>
      </c>
    </row>
    <row r="3022" spans="1:6" ht="15.75">
      <c r="A3022" s="22" t="s">
        <v>1442</v>
      </c>
      <c r="B3022" s="23">
        <v>43317</v>
      </c>
      <c r="C3022" s="24">
        <v>0</v>
      </c>
      <c r="D3022" s="25" t="str">
        <f t="shared" si="94"/>
        <v>201831</v>
      </c>
      <c r="E3022" s="22" t="str">
        <f t="shared" ca="1" si="95"/>
        <v>201808</v>
      </c>
      <c r="F3022" s="22">
        <v>2018</v>
      </c>
    </row>
    <row r="3023" spans="1:6" ht="15.75">
      <c r="A3023" s="22" t="s">
        <v>1441</v>
      </c>
      <c r="B3023" s="26">
        <v>43317</v>
      </c>
      <c r="C3023" s="27">
        <v>0</v>
      </c>
      <c r="D3023" s="25" t="str">
        <f t="shared" si="94"/>
        <v>201831</v>
      </c>
      <c r="E3023" s="22" t="str">
        <f t="shared" ca="1" si="95"/>
        <v>201808</v>
      </c>
      <c r="F3023" s="22">
        <v>2018</v>
      </c>
    </row>
    <row r="3024" spans="1:6" ht="15.75">
      <c r="A3024" s="22" t="s">
        <v>1442</v>
      </c>
      <c r="B3024" s="23">
        <v>43318</v>
      </c>
      <c r="C3024" s="24">
        <v>77.72</v>
      </c>
      <c r="D3024" s="25" t="str">
        <f t="shared" si="94"/>
        <v>201832</v>
      </c>
      <c r="E3024" s="22" t="str">
        <f t="shared" ca="1" si="95"/>
        <v>201808</v>
      </c>
      <c r="F3024" s="22">
        <v>2018</v>
      </c>
    </row>
    <row r="3025" spans="1:6" ht="15.75">
      <c r="A3025" s="22" t="s">
        <v>1442</v>
      </c>
      <c r="B3025" s="23">
        <v>43318</v>
      </c>
      <c r="C3025" s="24">
        <v>0</v>
      </c>
      <c r="D3025" s="25" t="str">
        <f t="shared" si="94"/>
        <v>201832</v>
      </c>
      <c r="E3025" s="22" t="str">
        <f t="shared" ca="1" si="95"/>
        <v>201808</v>
      </c>
      <c r="F3025" s="22">
        <v>2018</v>
      </c>
    </row>
    <row r="3026" spans="1:6" ht="15.75">
      <c r="A3026" s="22" t="s">
        <v>1441</v>
      </c>
      <c r="B3026" s="26">
        <v>43318</v>
      </c>
      <c r="C3026" s="27">
        <v>0</v>
      </c>
      <c r="D3026" s="25" t="str">
        <f t="shared" si="94"/>
        <v>201832</v>
      </c>
      <c r="E3026" s="22" t="str">
        <f t="shared" ca="1" si="95"/>
        <v>201808</v>
      </c>
      <c r="F3026" s="22">
        <v>2018</v>
      </c>
    </row>
    <row r="3027" spans="1:6" ht="15.75">
      <c r="A3027" s="22" t="s">
        <v>1442</v>
      </c>
      <c r="B3027" s="23">
        <v>43319</v>
      </c>
      <c r="C3027" s="24">
        <v>58.31</v>
      </c>
      <c r="D3027" s="25" t="str">
        <f t="shared" si="94"/>
        <v>201832</v>
      </c>
      <c r="E3027" s="22" t="str">
        <f t="shared" ca="1" si="95"/>
        <v>201808</v>
      </c>
      <c r="F3027" s="22">
        <v>2018</v>
      </c>
    </row>
    <row r="3028" spans="1:6" ht="15.75">
      <c r="A3028" s="22" t="s">
        <v>1442</v>
      </c>
      <c r="B3028" s="23">
        <v>43319</v>
      </c>
      <c r="C3028" s="24">
        <v>0</v>
      </c>
      <c r="D3028" s="25" t="str">
        <f t="shared" si="94"/>
        <v>201832</v>
      </c>
      <c r="E3028" s="22" t="str">
        <f t="shared" ca="1" si="95"/>
        <v>201808</v>
      </c>
      <c r="F3028" s="22">
        <v>2018</v>
      </c>
    </row>
    <row r="3029" spans="1:6" ht="15.75">
      <c r="A3029" s="22" t="s">
        <v>1441</v>
      </c>
      <c r="B3029" s="26">
        <v>43319</v>
      </c>
      <c r="C3029" s="27">
        <v>0</v>
      </c>
      <c r="D3029" s="25" t="str">
        <f t="shared" si="94"/>
        <v>201832</v>
      </c>
      <c r="E3029" s="22" t="str">
        <f t="shared" ca="1" si="95"/>
        <v>201808</v>
      </c>
      <c r="F3029" s="22">
        <v>2018</v>
      </c>
    </row>
    <row r="3030" spans="1:6" ht="15.75">
      <c r="A3030" s="22" t="s">
        <v>1442</v>
      </c>
      <c r="B3030" s="23">
        <v>43320</v>
      </c>
      <c r="C3030" s="24">
        <v>66.83</v>
      </c>
      <c r="D3030" s="25" t="str">
        <f t="shared" si="94"/>
        <v>201832</v>
      </c>
      <c r="E3030" s="22" t="str">
        <f t="shared" ca="1" si="95"/>
        <v>201808</v>
      </c>
      <c r="F3030" s="22">
        <v>2018</v>
      </c>
    </row>
    <row r="3031" spans="1:6" ht="15.75">
      <c r="A3031" s="22" t="s">
        <v>1442</v>
      </c>
      <c r="B3031" s="23">
        <v>43320</v>
      </c>
      <c r="C3031" s="24">
        <v>0</v>
      </c>
      <c r="D3031" s="25" t="str">
        <f t="shared" si="94"/>
        <v>201832</v>
      </c>
      <c r="E3031" s="22" t="str">
        <f t="shared" ca="1" si="95"/>
        <v>201808</v>
      </c>
      <c r="F3031" s="22">
        <v>2018</v>
      </c>
    </row>
    <row r="3032" spans="1:6" ht="15.75">
      <c r="A3032" s="22" t="s">
        <v>1441</v>
      </c>
      <c r="B3032" s="26">
        <v>43320</v>
      </c>
      <c r="C3032" s="27">
        <v>0</v>
      </c>
      <c r="D3032" s="25" t="str">
        <f t="shared" si="94"/>
        <v>201832</v>
      </c>
      <c r="E3032" s="22" t="str">
        <f t="shared" ca="1" si="95"/>
        <v>201808</v>
      </c>
      <c r="F3032" s="22">
        <v>2018</v>
      </c>
    </row>
    <row r="3033" spans="1:6" ht="15.75">
      <c r="A3033" s="22" t="s">
        <v>1442</v>
      </c>
      <c r="B3033" s="23">
        <v>43321</v>
      </c>
      <c r="C3033" s="24">
        <v>56.65</v>
      </c>
      <c r="D3033" s="25" t="str">
        <f t="shared" si="94"/>
        <v>201832</v>
      </c>
      <c r="E3033" s="22" t="str">
        <f t="shared" ca="1" si="95"/>
        <v>201808</v>
      </c>
      <c r="F3033" s="22">
        <v>2018</v>
      </c>
    </row>
    <row r="3034" spans="1:6" ht="15.75">
      <c r="A3034" s="22" t="s">
        <v>1442</v>
      </c>
      <c r="B3034" s="23">
        <v>43321</v>
      </c>
      <c r="C3034" s="24">
        <v>0.38</v>
      </c>
      <c r="D3034" s="25" t="str">
        <f t="shared" si="94"/>
        <v>201832</v>
      </c>
      <c r="E3034" s="22" t="str">
        <f t="shared" ca="1" si="95"/>
        <v>201808</v>
      </c>
      <c r="F3034" s="22">
        <v>2018</v>
      </c>
    </row>
    <row r="3035" spans="1:6" ht="15.75">
      <c r="A3035" s="22" t="s">
        <v>1441</v>
      </c>
      <c r="B3035" s="26">
        <v>43321</v>
      </c>
      <c r="C3035" s="27">
        <v>0</v>
      </c>
      <c r="D3035" s="25" t="str">
        <f t="shared" si="94"/>
        <v>201832</v>
      </c>
      <c r="E3035" s="22" t="str">
        <f t="shared" ca="1" si="95"/>
        <v>201808</v>
      </c>
      <c r="F3035" s="22">
        <v>2018</v>
      </c>
    </row>
    <row r="3036" spans="1:6" ht="15.75">
      <c r="A3036" s="22" t="s">
        <v>1442</v>
      </c>
      <c r="B3036" s="23">
        <v>43322</v>
      </c>
      <c r="C3036" s="24">
        <v>68.89</v>
      </c>
      <c r="D3036" s="25" t="str">
        <f t="shared" si="94"/>
        <v>201832</v>
      </c>
      <c r="E3036" s="22" t="str">
        <f t="shared" ca="1" si="95"/>
        <v>201808</v>
      </c>
      <c r="F3036" s="22">
        <v>2018</v>
      </c>
    </row>
    <row r="3037" spans="1:6" ht="15.75">
      <c r="A3037" s="22" t="s">
        <v>1442</v>
      </c>
      <c r="B3037" s="23">
        <v>43322</v>
      </c>
      <c r="C3037" s="24">
        <v>0</v>
      </c>
      <c r="D3037" s="25" t="str">
        <f t="shared" si="94"/>
        <v>201832</v>
      </c>
      <c r="E3037" s="22" t="str">
        <f t="shared" ca="1" si="95"/>
        <v>201808</v>
      </c>
      <c r="F3037" s="22">
        <v>2018</v>
      </c>
    </row>
    <row r="3038" spans="1:6" ht="15.75">
      <c r="A3038" s="22" t="s">
        <v>1441</v>
      </c>
      <c r="B3038" s="26">
        <v>43322</v>
      </c>
      <c r="C3038" s="27">
        <v>0</v>
      </c>
      <c r="D3038" s="25" t="str">
        <f t="shared" si="94"/>
        <v>201832</v>
      </c>
      <c r="E3038" s="22" t="str">
        <f t="shared" ca="1" si="95"/>
        <v>201808</v>
      </c>
      <c r="F3038" s="22">
        <v>2018</v>
      </c>
    </row>
    <row r="3039" spans="1:6" ht="15.75">
      <c r="A3039" s="22" t="s">
        <v>1442</v>
      </c>
      <c r="B3039" s="23">
        <v>43323</v>
      </c>
      <c r="C3039" s="24">
        <v>56.03</v>
      </c>
      <c r="D3039" s="25" t="str">
        <f t="shared" si="94"/>
        <v>201832</v>
      </c>
      <c r="E3039" s="22" t="str">
        <f t="shared" ca="1" si="95"/>
        <v>201808</v>
      </c>
      <c r="F3039" s="22">
        <v>2018</v>
      </c>
    </row>
    <row r="3040" spans="1:6" ht="15.75">
      <c r="A3040" s="22" t="s">
        <v>1442</v>
      </c>
      <c r="B3040" s="23">
        <v>43323</v>
      </c>
      <c r="C3040" s="24">
        <v>0</v>
      </c>
      <c r="D3040" s="25" t="str">
        <f t="shared" si="94"/>
        <v>201832</v>
      </c>
      <c r="E3040" s="22" t="str">
        <f t="shared" ca="1" si="95"/>
        <v>201808</v>
      </c>
      <c r="F3040" s="22">
        <v>2018</v>
      </c>
    </row>
    <row r="3041" spans="1:6" ht="15.75">
      <c r="A3041" s="22" t="s">
        <v>1441</v>
      </c>
      <c r="B3041" s="26">
        <v>43323</v>
      </c>
      <c r="C3041" s="27">
        <v>0</v>
      </c>
      <c r="D3041" s="25" t="str">
        <f t="shared" si="94"/>
        <v>201832</v>
      </c>
      <c r="E3041" s="22" t="str">
        <f t="shared" ca="1" si="95"/>
        <v>201808</v>
      </c>
      <c r="F3041" s="22">
        <v>2018</v>
      </c>
    </row>
    <row r="3042" spans="1:6" ht="15.75">
      <c r="A3042" s="22" t="s">
        <v>1442</v>
      </c>
      <c r="B3042" s="23">
        <v>43324</v>
      </c>
      <c r="C3042" s="24">
        <v>94.07</v>
      </c>
      <c r="D3042" s="25" t="str">
        <f t="shared" si="94"/>
        <v>201832</v>
      </c>
      <c r="E3042" s="22" t="str">
        <f t="shared" ca="1" si="95"/>
        <v>201808</v>
      </c>
      <c r="F3042" s="22">
        <v>2018</v>
      </c>
    </row>
    <row r="3043" spans="1:6" ht="15.75">
      <c r="A3043" s="22" t="s">
        <v>1442</v>
      </c>
      <c r="B3043" s="23">
        <v>43324</v>
      </c>
      <c r="C3043" s="24">
        <v>0</v>
      </c>
      <c r="D3043" s="25" t="str">
        <f t="shared" si="94"/>
        <v>201832</v>
      </c>
      <c r="E3043" s="22" t="str">
        <f t="shared" ca="1" si="95"/>
        <v>201808</v>
      </c>
      <c r="F3043" s="22">
        <v>2018</v>
      </c>
    </row>
    <row r="3044" spans="1:6" ht="15.75">
      <c r="A3044" s="22" t="s">
        <v>1441</v>
      </c>
      <c r="B3044" s="26">
        <v>43324</v>
      </c>
      <c r="C3044" s="27">
        <v>0</v>
      </c>
      <c r="D3044" s="25" t="str">
        <f t="shared" si="94"/>
        <v>201832</v>
      </c>
      <c r="E3044" s="22" t="str">
        <f t="shared" ca="1" si="95"/>
        <v>201808</v>
      </c>
      <c r="F3044" s="22">
        <v>2018</v>
      </c>
    </row>
    <row r="3045" spans="1:6" ht="15.75">
      <c r="A3045" s="22" t="s">
        <v>1442</v>
      </c>
      <c r="B3045" s="23">
        <v>43325</v>
      </c>
      <c r="C3045" s="24">
        <v>83.69</v>
      </c>
      <c r="D3045" s="25" t="str">
        <f t="shared" si="94"/>
        <v>201833</v>
      </c>
      <c r="E3045" s="22" t="str">
        <f t="shared" ca="1" si="95"/>
        <v>201808</v>
      </c>
      <c r="F3045" s="22">
        <v>2018</v>
      </c>
    </row>
    <row r="3046" spans="1:6" ht="15.75">
      <c r="A3046" s="22" t="s">
        <v>1442</v>
      </c>
      <c r="B3046" s="23">
        <v>43325</v>
      </c>
      <c r="C3046" s="24">
        <v>0</v>
      </c>
      <c r="D3046" s="25" t="str">
        <f t="shared" si="94"/>
        <v>201833</v>
      </c>
      <c r="E3046" s="22" t="str">
        <f t="shared" ca="1" si="95"/>
        <v>201808</v>
      </c>
      <c r="F3046" s="22">
        <v>2018</v>
      </c>
    </row>
    <row r="3047" spans="1:6" ht="15.75">
      <c r="A3047" s="22" t="s">
        <v>1441</v>
      </c>
      <c r="B3047" s="26">
        <v>43325</v>
      </c>
      <c r="C3047" s="27">
        <v>0</v>
      </c>
      <c r="D3047" s="25" t="str">
        <f t="shared" si="94"/>
        <v>201833</v>
      </c>
      <c r="E3047" s="22" t="str">
        <f t="shared" ca="1" si="95"/>
        <v>201808</v>
      </c>
      <c r="F3047" s="22">
        <v>2018</v>
      </c>
    </row>
    <row r="3048" spans="1:6" ht="15.75">
      <c r="A3048" s="22" t="s">
        <v>1442</v>
      </c>
      <c r="B3048" s="23">
        <v>43326</v>
      </c>
      <c r="C3048" s="24">
        <v>64.37</v>
      </c>
      <c r="D3048" s="25" t="str">
        <f t="shared" si="94"/>
        <v>201833</v>
      </c>
      <c r="E3048" s="22" t="str">
        <f t="shared" ca="1" si="95"/>
        <v>201808</v>
      </c>
      <c r="F3048" s="22">
        <v>2018</v>
      </c>
    </row>
    <row r="3049" spans="1:6" ht="15.75">
      <c r="A3049" s="22" t="s">
        <v>1442</v>
      </c>
      <c r="B3049" s="23">
        <v>43326</v>
      </c>
      <c r="C3049" s="24">
        <v>0</v>
      </c>
      <c r="D3049" s="25" t="str">
        <f t="shared" si="94"/>
        <v>201833</v>
      </c>
      <c r="E3049" s="22" t="str">
        <f t="shared" ca="1" si="95"/>
        <v>201808</v>
      </c>
      <c r="F3049" s="22">
        <v>2018</v>
      </c>
    </row>
    <row r="3050" spans="1:6" ht="15.75">
      <c r="A3050" s="22" t="s">
        <v>1441</v>
      </c>
      <c r="B3050" s="26">
        <v>43326</v>
      </c>
      <c r="C3050" s="27">
        <v>0</v>
      </c>
      <c r="D3050" s="25" t="str">
        <f t="shared" si="94"/>
        <v>201833</v>
      </c>
      <c r="E3050" s="22" t="str">
        <f t="shared" ca="1" si="95"/>
        <v>201808</v>
      </c>
      <c r="F3050" s="22">
        <v>2018</v>
      </c>
    </row>
    <row r="3051" spans="1:6" ht="15.75">
      <c r="A3051" s="22" t="s">
        <v>1442</v>
      </c>
      <c r="B3051" s="23">
        <v>43327</v>
      </c>
      <c r="C3051" s="24">
        <v>67.08</v>
      </c>
      <c r="D3051" s="25" t="str">
        <f t="shared" si="94"/>
        <v>201833</v>
      </c>
      <c r="E3051" s="22" t="str">
        <f t="shared" ca="1" si="95"/>
        <v>201808</v>
      </c>
      <c r="F3051" s="22">
        <v>2018</v>
      </c>
    </row>
    <row r="3052" spans="1:6" ht="15.75">
      <c r="A3052" s="22" t="s">
        <v>1442</v>
      </c>
      <c r="B3052" s="23">
        <v>43327</v>
      </c>
      <c r="C3052" s="24">
        <v>0.38</v>
      </c>
      <c r="D3052" s="25" t="str">
        <f t="shared" si="94"/>
        <v>201833</v>
      </c>
      <c r="E3052" s="22" t="str">
        <f t="shared" ca="1" si="95"/>
        <v>201808</v>
      </c>
      <c r="F3052" s="22">
        <v>2018</v>
      </c>
    </row>
    <row r="3053" spans="1:6" ht="15.75">
      <c r="A3053" s="22" t="s">
        <v>1441</v>
      </c>
      <c r="B3053" s="26">
        <v>43327</v>
      </c>
      <c r="C3053" s="27">
        <v>0</v>
      </c>
      <c r="D3053" s="25" t="str">
        <f t="shared" si="94"/>
        <v>201833</v>
      </c>
      <c r="E3053" s="22" t="str">
        <f t="shared" ca="1" si="95"/>
        <v>201808</v>
      </c>
      <c r="F3053" s="22">
        <v>2018</v>
      </c>
    </row>
    <row r="3054" spans="1:6" ht="15.75">
      <c r="A3054" s="22" t="s">
        <v>1442</v>
      </c>
      <c r="B3054" s="23">
        <v>43328</v>
      </c>
      <c r="C3054" s="24">
        <v>59.9</v>
      </c>
      <c r="D3054" s="25" t="str">
        <f t="shared" si="94"/>
        <v>201833</v>
      </c>
      <c r="E3054" s="22" t="str">
        <f t="shared" ca="1" si="95"/>
        <v>201808</v>
      </c>
      <c r="F3054" s="22">
        <v>2018</v>
      </c>
    </row>
    <row r="3055" spans="1:6" ht="15.75">
      <c r="A3055" s="22" t="s">
        <v>1442</v>
      </c>
      <c r="B3055" s="23">
        <v>43328</v>
      </c>
      <c r="C3055" s="24">
        <v>0.38</v>
      </c>
      <c r="D3055" s="25" t="str">
        <f t="shared" si="94"/>
        <v>201833</v>
      </c>
      <c r="E3055" s="22" t="str">
        <f t="shared" ca="1" si="95"/>
        <v>201808</v>
      </c>
      <c r="F3055" s="22">
        <v>2018</v>
      </c>
    </row>
    <row r="3056" spans="1:6" ht="15.75">
      <c r="A3056" s="22" t="s">
        <v>1441</v>
      </c>
      <c r="B3056" s="26">
        <v>43328</v>
      </c>
      <c r="C3056" s="27">
        <v>0</v>
      </c>
      <c r="D3056" s="25" t="str">
        <f t="shared" si="94"/>
        <v>201833</v>
      </c>
      <c r="E3056" s="22" t="str">
        <f t="shared" ca="1" si="95"/>
        <v>201808</v>
      </c>
      <c r="F3056" s="22">
        <v>2018</v>
      </c>
    </row>
    <row r="3057" spans="1:6" ht="15.75">
      <c r="A3057" s="22" t="s">
        <v>1442</v>
      </c>
      <c r="B3057" s="23">
        <v>43329</v>
      </c>
      <c r="C3057" s="24">
        <v>39.94</v>
      </c>
      <c r="D3057" s="25" t="str">
        <f t="shared" si="94"/>
        <v>201833</v>
      </c>
      <c r="E3057" s="22" t="str">
        <f t="shared" ca="1" si="95"/>
        <v>201808</v>
      </c>
      <c r="F3057" s="22">
        <v>2018</v>
      </c>
    </row>
    <row r="3058" spans="1:6" ht="15.75">
      <c r="A3058" s="22" t="s">
        <v>1442</v>
      </c>
      <c r="B3058" s="23">
        <v>43329</v>
      </c>
      <c r="C3058" s="24">
        <v>0</v>
      </c>
      <c r="D3058" s="25" t="str">
        <f t="shared" si="94"/>
        <v>201833</v>
      </c>
      <c r="E3058" s="22" t="str">
        <f t="shared" ca="1" si="95"/>
        <v>201808</v>
      </c>
      <c r="F3058" s="22">
        <v>2018</v>
      </c>
    </row>
    <row r="3059" spans="1:6" ht="15.75">
      <c r="A3059" s="22" t="s">
        <v>1441</v>
      </c>
      <c r="B3059" s="26">
        <v>43329</v>
      </c>
      <c r="C3059" s="27">
        <v>0</v>
      </c>
      <c r="D3059" s="25" t="str">
        <f t="shared" si="94"/>
        <v>201833</v>
      </c>
      <c r="E3059" s="22" t="str">
        <f t="shared" ca="1" si="95"/>
        <v>201808</v>
      </c>
      <c r="F3059" s="22">
        <v>2018</v>
      </c>
    </row>
    <row r="3060" spans="1:6" ht="15.75">
      <c r="A3060" s="22" t="s">
        <v>1442</v>
      </c>
      <c r="B3060" s="23">
        <v>43330</v>
      </c>
      <c r="C3060" s="24">
        <v>43.18</v>
      </c>
      <c r="D3060" s="25" t="str">
        <f t="shared" si="94"/>
        <v>201833</v>
      </c>
      <c r="E3060" s="22" t="str">
        <f t="shared" ca="1" si="95"/>
        <v>201808</v>
      </c>
      <c r="F3060" s="22">
        <v>2018</v>
      </c>
    </row>
    <row r="3061" spans="1:6" ht="15.75">
      <c r="A3061" s="22" t="s">
        <v>1442</v>
      </c>
      <c r="B3061" s="23">
        <v>43330</v>
      </c>
      <c r="C3061" s="24">
        <v>0</v>
      </c>
      <c r="D3061" s="25" t="str">
        <f t="shared" si="94"/>
        <v>201833</v>
      </c>
      <c r="E3061" s="22" t="str">
        <f t="shared" ca="1" si="95"/>
        <v>201808</v>
      </c>
      <c r="F3061" s="22">
        <v>2018</v>
      </c>
    </row>
    <row r="3062" spans="1:6" ht="15.75">
      <c r="A3062" s="22" t="s">
        <v>1441</v>
      </c>
      <c r="B3062" s="26">
        <v>43330</v>
      </c>
      <c r="C3062" s="27">
        <v>0</v>
      </c>
      <c r="D3062" s="25" t="str">
        <f t="shared" si="94"/>
        <v>201833</v>
      </c>
      <c r="E3062" s="22" t="str">
        <f t="shared" ca="1" si="95"/>
        <v>201808</v>
      </c>
      <c r="F3062" s="22">
        <v>2018</v>
      </c>
    </row>
    <row r="3063" spans="1:6" ht="15.75">
      <c r="A3063" s="22" t="s">
        <v>1442</v>
      </c>
      <c r="B3063" s="23">
        <v>43331</v>
      </c>
      <c r="C3063" s="24">
        <v>74.42</v>
      </c>
      <c r="D3063" s="25" t="str">
        <f t="shared" si="94"/>
        <v>201833</v>
      </c>
      <c r="E3063" s="22" t="str">
        <f t="shared" ca="1" si="95"/>
        <v>201808</v>
      </c>
      <c r="F3063" s="22">
        <v>2018</v>
      </c>
    </row>
    <row r="3064" spans="1:6" ht="15.75">
      <c r="A3064" s="22" t="s">
        <v>1442</v>
      </c>
      <c r="B3064" s="23">
        <v>43331</v>
      </c>
      <c r="C3064" s="24">
        <v>0</v>
      </c>
      <c r="D3064" s="25" t="str">
        <f t="shared" si="94"/>
        <v>201833</v>
      </c>
      <c r="E3064" s="22" t="str">
        <f t="shared" ca="1" si="95"/>
        <v>201808</v>
      </c>
      <c r="F3064" s="22">
        <v>2018</v>
      </c>
    </row>
    <row r="3065" spans="1:6" ht="15.75">
      <c r="A3065" s="22" t="s">
        <v>1441</v>
      </c>
      <c r="B3065" s="26">
        <v>43331</v>
      </c>
      <c r="C3065" s="27">
        <v>0</v>
      </c>
      <c r="D3065" s="25" t="str">
        <f t="shared" si="94"/>
        <v>201833</v>
      </c>
      <c r="E3065" s="22" t="str">
        <f t="shared" ca="1" si="95"/>
        <v>201808</v>
      </c>
      <c r="F3065" s="22">
        <v>2018</v>
      </c>
    </row>
    <row r="3066" spans="1:6" ht="15.75">
      <c r="A3066" s="22" t="s">
        <v>1442</v>
      </c>
      <c r="B3066" s="23">
        <v>43332</v>
      </c>
      <c r="C3066" s="24">
        <v>72.930000000000007</v>
      </c>
      <c r="D3066" s="25" t="str">
        <f t="shared" si="94"/>
        <v>201834</v>
      </c>
      <c r="E3066" s="22" t="str">
        <f t="shared" ca="1" si="95"/>
        <v>201808</v>
      </c>
      <c r="F3066" s="22">
        <v>2018</v>
      </c>
    </row>
    <row r="3067" spans="1:6" ht="15.75">
      <c r="A3067" s="22" t="s">
        <v>1442</v>
      </c>
      <c r="B3067" s="23">
        <v>43332</v>
      </c>
      <c r="C3067" s="24">
        <v>0</v>
      </c>
      <c r="D3067" s="25" t="str">
        <f t="shared" si="94"/>
        <v>201834</v>
      </c>
      <c r="E3067" s="22" t="str">
        <f t="shared" ca="1" si="95"/>
        <v>201808</v>
      </c>
      <c r="F3067" s="22">
        <v>2018</v>
      </c>
    </row>
    <row r="3068" spans="1:6" ht="15.75">
      <c r="A3068" s="22" t="s">
        <v>1441</v>
      </c>
      <c r="B3068" s="26">
        <v>43332</v>
      </c>
      <c r="C3068" s="27">
        <v>0</v>
      </c>
      <c r="D3068" s="25" t="str">
        <f t="shared" si="94"/>
        <v>201834</v>
      </c>
      <c r="E3068" s="22" t="str">
        <f t="shared" ca="1" si="95"/>
        <v>201808</v>
      </c>
      <c r="F3068" s="22">
        <v>2018</v>
      </c>
    </row>
    <row r="3069" spans="1:6" ht="15.75">
      <c r="A3069" s="22" t="s">
        <v>1442</v>
      </c>
      <c r="B3069" s="23">
        <v>43333</v>
      </c>
      <c r="C3069" s="24">
        <v>48.68</v>
      </c>
      <c r="D3069" s="25" t="str">
        <f t="shared" si="94"/>
        <v>201834</v>
      </c>
      <c r="E3069" s="22" t="str">
        <f t="shared" ca="1" si="95"/>
        <v>201808</v>
      </c>
      <c r="F3069" s="22">
        <v>2018</v>
      </c>
    </row>
    <row r="3070" spans="1:6" ht="15.75">
      <c r="A3070" s="22" t="s">
        <v>1442</v>
      </c>
      <c r="B3070" s="23">
        <v>43333</v>
      </c>
      <c r="C3070" s="24">
        <v>0</v>
      </c>
      <c r="D3070" s="25" t="str">
        <f t="shared" si="94"/>
        <v>201834</v>
      </c>
      <c r="E3070" s="22" t="str">
        <f t="shared" ca="1" si="95"/>
        <v>201808</v>
      </c>
      <c r="F3070" s="22">
        <v>2018</v>
      </c>
    </row>
    <row r="3071" spans="1:6" ht="15.75">
      <c r="A3071" s="22" t="s">
        <v>1441</v>
      </c>
      <c r="B3071" s="26">
        <v>43333</v>
      </c>
      <c r="C3071" s="27">
        <v>0</v>
      </c>
      <c r="D3071" s="25" t="str">
        <f t="shared" si="94"/>
        <v>201834</v>
      </c>
      <c r="E3071" s="22" t="str">
        <f t="shared" ca="1" si="95"/>
        <v>201808</v>
      </c>
      <c r="F3071" s="22">
        <v>2018</v>
      </c>
    </row>
    <row r="3072" spans="1:6" ht="15.75">
      <c r="A3072" s="22" t="s">
        <v>1442</v>
      </c>
      <c r="B3072" s="23">
        <v>43334</v>
      </c>
      <c r="C3072" s="24">
        <v>59.97</v>
      </c>
      <c r="D3072" s="25" t="str">
        <f t="shared" si="94"/>
        <v>201834</v>
      </c>
      <c r="E3072" s="22" t="str">
        <f t="shared" ca="1" si="95"/>
        <v>201808</v>
      </c>
      <c r="F3072" s="22">
        <v>2018</v>
      </c>
    </row>
    <row r="3073" spans="1:6" ht="15.75">
      <c r="A3073" s="22" t="s">
        <v>1442</v>
      </c>
      <c r="B3073" s="23">
        <v>43334</v>
      </c>
      <c r="C3073" s="24">
        <v>0</v>
      </c>
      <c r="D3073" s="25" t="str">
        <f t="shared" si="94"/>
        <v>201834</v>
      </c>
      <c r="E3073" s="22" t="str">
        <f t="shared" ca="1" si="95"/>
        <v>201808</v>
      </c>
      <c r="F3073" s="22">
        <v>2018</v>
      </c>
    </row>
    <row r="3074" spans="1:6" ht="15.75">
      <c r="A3074" s="22" t="s">
        <v>1441</v>
      </c>
      <c r="B3074" s="26">
        <v>43334</v>
      </c>
      <c r="C3074" s="27">
        <v>0</v>
      </c>
      <c r="D3074" s="25" t="str">
        <f t="shared" si="94"/>
        <v>201834</v>
      </c>
      <c r="E3074" s="22" t="str">
        <f t="shared" ca="1" si="95"/>
        <v>201808</v>
      </c>
      <c r="F3074" s="22">
        <v>2018</v>
      </c>
    </row>
    <row r="3075" spans="1:6" ht="15.75">
      <c r="A3075" s="22" t="s">
        <v>1442</v>
      </c>
      <c r="B3075" s="23">
        <v>43335</v>
      </c>
      <c r="C3075" s="24">
        <v>56.77</v>
      </c>
      <c r="D3075" s="25" t="str">
        <f t="shared" ref="D3075:D3138" si="96">CONCATENATE(YEAR(B3075-WEEKDAY(B3075,3)+3),TEXT(WEEKNUM(B3075,21),"00"))</f>
        <v>201834</v>
      </c>
      <c r="E3075" s="22" t="str">
        <f t="shared" ref="E3075:E3138" ca="1" si="97">IF(
  AND(
    YEAR(B3075)=YEAR(TODAY())-1,
    MONTH(B3075)=MONTH(TODAY()),
    DAY(B3075)&gt;DAY($H$2)
  ),
  0,
  CONCATENATE(YEAR(B3075),TEXT(MONTH(B3075),"00"))
)</f>
        <v>201808</v>
      </c>
      <c r="F3075" s="22">
        <v>2018</v>
      </c>
    </row>
    <row r="3076" spans="1:6" ht="15.75">
      <c r="A3076" s="22" t="s">
        <v>1442</v>
      </c>
      <c r="B3076" s="23">
        <v>43335</v>
      </c>
      <c r="C3076" s="24">
        <v>0</v>
      </c>
      <c r="D3076" s="25" t="str">
        <f t="shared" si="96"/>
        <v>201834</v>
      </c>
      <c r="E3076" s="22" t="str">
        <f t="shared" ca="1" si="97"/>
        <v>201808</v>
      </c>
      <c r="F3076" s="22">
        <v>2018</v>
      </c>
    </row>
    <row r="3077" spans="1:6" ht="15.75">
      <c r="A3077" s="22" t="s">
        <v>1441</v>
      </c>
      <c r="B3077" s="26">
        <v>43335</v>
      </c>
      <c r="C3077" s="27">
        <v>0</v>
      </c>
      <c r="D3077" s="25" t="str">
        <f t="shared" si="96"/>
        <v>201834</v>
      </c>
      <c r="E3077" s="22" t="str">
        <f t="shared" ca="1" si="97"/>
        <v>201808</v>
      </c>
      <c r="F3077" s="22">
        <v>2018</v>
      </c>
    </row>
    <row r="3078" spans="1:6" ht="15.75">
      <c r="A3078" s="22" t="s">
        <v>1442</v>
      </c>
      <c r="B3078" s="23">
        <v>43336</v>
      </c>
      <c r="C3078" s="24">
        <v>52.14</v>
      </c>
      <c r="D3078" s="25" t="str">
        <f t="shared" si="96"/>
        <v>201834</v>
      </c>
      <c r="E3078" s="22" t="str">
        <f t="shared" ca="1" si="97"/>
        <v>201808</v>
      </c>
      <c r="F3078" s="22">
        <v>2018</v>
      </c>
    </row>
    <row r="3079" spans="1:6" ht="15.75">
      <c r="A3079" s="22" t="s">
        <v>1442</v>
      </c>
      <c r="B3079" s="23">
        <v>43336</v>
      </c>
      <c r="C3079" s="24">
        <v>0</v>
      </c>
      <c r="D3079" s="25" t="str">
        <f t="shared" si="96"/>
        <v>201834</v>
      </c>
      <c r="E3079" s="22" t="str">
        <f t="shared" ca="1" si="97"/>
        <v>201808</v>
      </c>
      <c r="F3079" s="22">
        <v>2018</v>
      </c>
    </row>
    <row r="3080" spans="1:6" ht="15.75">
      <c r="A3080" s="22" t="s">
        <v>1441</v>
      </c>
      <c r="B3080" s="26">
        <v>43336</v>
      </c>
      <c r="C3080" s="27">
        <v>0</v>
      </c>
      <c r="D3080" s="25" t="str">
        <f t="shared" si="96"/>
        <v>201834</v>
      </c>
      <c r="E3080" s="22" t="str">
        <f t="shared" ca="1" si="97"/>
        <v>201808</v>
      </c>
      <c r="F3080" s="22">
        <v>2018</v>
      </c>
    </row>
    <row r="3081" spans="1:6" ht="15.75">
      <c r="A3081" s="22" t="s">
        <v>1442</v>
      </c>
      <c r="B3081" s="23">
        <v>43337</v>
      </c>
      <c r="C3081" s="24">
        <v>37.89</v>
      </c>
      <c r="D3081" s="25" t="str">
        <f t="shared" si="96"/>
        <v>201834</v>
      </c>
      <c r="E3081" s="22" t="str">
        <f t="shared" ca="1" si="97"/>
        <v>201808</v>
      </c>
      <c r="F3081" s="22">
        <v>2018</v>
      </c>
    </row>
    <row r="3082" spans="1:6" ht="15.75">
      <c r="A3082" s="22" t="s">
        <v>1442</v>
      </c>
      <c r="B3082" s="23">
        <v>43337</v>
      </c>
      <c r="C3082" s="24">
        <v>0</v>
      </c>
      <c r="D3082" s="25" t="str">
        <f t="shared" si="96"/>
        <v>201834</v>
      </c>
      <c r="E3082" s="22" t="str">
        <f t="shared" ca="1" si="97"/>
        <v>201808</v>
      </c>
      <c r="F3082" s="22">
        <v>2018</v>
      </c>
    </row>
    <row r="3083" spans="1:6" ht="15.75">
      <c r="A3083" s="22" t="s">
        <v>1441</v>
      </c>
      <c r="B3083" s="26">
        <v>43337</v>
      </c>
      <c r="C3083" s="27">
        <v>0</v>
      </c>
      <c r="D3083" s="25" t="str">
        <f t="shared" si="96"/>
        <v>201834</v>
      </c>
      <c r="E3083" s="22" t="str">
        <f t="shared" ca="1" si="97"/>
        <v>201808</v>
      </c>
      <c r="F3083" s="22">
        <v>2018</v>
      </c>
    </row>
    <row r="3084" spans="1:6" ht="15.75">
      <c r="A3084" s="22" t="s">
        <v>1442</v>
      </c>
      <c r="B3084" s="23">
        <v>43338</v>
      </c>
      <c r="C3084" s="24">
        <v>53.33</v>
      </c>
      <c r="D3084" s="25" t="str">
        <f t="shared" si="96"/>
        <v>201834</v>
      </c>
      <c r="E3084" s="22" t="str">
        <f t="shared" ca="1" si="97"/>
        <v>201808</v>
      </c>
      <c r="F3084" s="22">
        <v>2018</v>
      </c>
    </row>
    <row r="3085" spans="1:6" ht="15.75">
      <c r="A3085" s="22" t="s">
        <v>1442</v>
      </c>
      <c r="B3085" s="23">
        <v>43338</v>
      </c>
      <c r="C3085" s="24">
        <v>0</v>
      </c>
      <c r="D3085" s="25" t="str">
        <f t="shared" si="96"/>
        <v>201834</v>
      </c>
      <c r="E3085" s="22" t="str">
        <f t="shared" ca="1" si="97"/>
        <v>201808</v>
      </c>
      <c r="F3085" s="22">
        <v>2018</v>
      </c>
    </row>
    <row r="3086" spans="1:6" ht="15.75">
      <c r="A3086" s="22" t="s">
        <v>1441</v>
      </c>
      <c r="B3086" s="26">
        <v>43338</v>
      </c>
      <c r="C3086" s="27">
        <v>0</v>
      </c>
      <c r="D3086" s="25" t="str">
        <f t="shared" si="96"/>
        <v>201834</v>
      </c>
      <c r="E3086" s="22" t="str">
        <f t="shared" ca="1" si="97"/>
        <v>201808</v>
      </c>
      <c r="F3086" s="22">
        <v>2018</v>
      </c>
    </row>
    <row r="3087" spans="1:6" ht="15.75">
      <c r="A3087" s="22" t="s">
        <v>1442</v>
      </c>
      <c r="B3087" s="23">
        <v>43339</v>
      </c>
      <c r="C3087" s="24">
        <v>47.74</v>
      </c>
      <c r="D3087" s="25" t="str">
        <f t="shared" si="96"/>
        <v>201835</v>
      </c>
      <c r="E3087" s="22" t="str">
        <f t="shared" ca="1" si="97"/>
        <v>201808</v>
      </c>
      <c r="F3087" s="22">
        <v>2018</v>
      </c>
    </row>
    <row r="3088" spans="1:6" ht="15.75">
      <c r="A3088" s="22" t="s">
        <v>1442</v>
      </c>
      <c r="B3088" s="23">
        <v>43339</v>
      </c>
      <c r="C3088" s="24">
        <v>0</v>
      </c>
      <c r="D3088" s="25" t="str">
        <f t="shared" si="96"/>
        <v>201835</v>
      </c>
      <c r="E3088" s="22" t="str">
        <f t="shared" ca="1" si="97"/>
        <v>201808</v>
      </c>
      <c r="F3088" s="22">
        <v>2018</v>
      </c>
    </row>
    <row r="3089" spans="1:6" ht="15.75">
      <c r="A3089" s="22" t="s">
        <v>1441</v>
      </c>
      <c r="B3089" s="26">
        <v>43339</v>
      </c>
      <c r="C3089" s="27">
        <v>0</v>
      </c>
      <c r="D3089" s="25" t="str">
        <f t="shared" si="96"/>
        <v>201835</v>
      </c>
      <c r="E3089" s="22" t="str">
        <f t="shared" ca="1" si="97"/>
        <v>201808</v>
      </c>
      <c r="F3089" s="22">
        <v>2018</v>
      </c>
    </row>
    <row r="3090" spans="1:6" ht="15.75">
      <c r="A3090" s="22" t="s">
        <v>1442</v>
      </c>
      <c r="B3090" s="23">
        <v>43340</v>
      </c>
      <c r="C3090" s="24">
        <v>38.630000000000003</v>
      </c>
      <c r="D3090" s="25" t="str">
        <f t="shared" si="96"/>
        <v>201835</v>
      </c>
      <c r="E3090" s="22" t="str">
        <f t="shared" ca="1" si="97"/>
        <v>201808</v>
      </c>
      <c r="F3090" s="22">
        <v>2018</v>
      </c>
    </row>
    <row r="3091" spans="1:6" ht="15.75">
      <c r="A3091" s="22" t="s">
        <v>1442</v>
      </c>
      <c r="B3091" s="23">
        <v>43340</v>
      </c>
      <c r="C3091" s="24">
        <v>0</v>
      </c>
      <c r="D3091" s="25" t="str">
        <f t="shared" si="96"/>
        <v>201835</v>
      </c>
      <c r="E3091" s="22" t="str">
        <f t="shared" ca="1" si="97"/>
        <v>201808</v>
      </c>
      <c r="F3091" s="22">
        <v>2018</v>
      </c>
    </row>
    <row r="3092" spans="1:6" ht="15.75">
      <c r="A3092" s="22" t="s">
        <v>1441</v>
      </c>
      <c r="B3092" s="26">
        <v>43340</v>
      </c>
      <c r="C3092" s="27">
        <v>0</v>
      </c>
      <c r="D3092" s="25" t="str">
        <f t="shared" si="96"/>
        <v>201835</v>
      </c>
      <c r="E3092" s="22" t="str">
        <f t="shared" ca="1" si="97"/>
        <v>201808</v>
      </c>
      <c r="F3092" s="22">
        <v>2018</v>
      </c>
    </row>
    <row r="3093" spans="1:6" ht="15.75">
      <c r="A3093" s="22" t="s">
        <v>1442</v>
      </c>
      <c r="B3093" s="23">
        <v>43341</v>
      </c>
      <c r="C3093" s="24">
        <v>42.72</v>
      </c>
      <c r="D3093" s="25" t="str">
        <f t="shared" si="96"/>
        <v>201835</v>
      </c>
      <c r="E3093" s="22" t="str">
        <f t="shared" ca="1" si="97"/>
        <v>201808</v>
      </c>
      <c r="F3093" s="22">
        <v>2018</v>
      </c>
    </row>
    <row r="3094" spans="1:6" ht="15.75">
      <c r="A3094" s="22" t="s">
        <v>1442</v>
      </c>
      <c r="B3094" s="23">
        <v>43341</v>
      </c>
      <c r="C3094" s="24">
        <v>0</v>
      </c>
      <c r="D3094" s="25" t="str">
        <f t="shared" si="96"/>
        <v>201835</v>
      </c>
      <c r="E3094" s="22" t="str">
        <f t="shared" ca="1" si="97"/>
        <v>201808</v>
      </c>
      <c r="F3094" s="22">
        <v>2018</v>
      </c>
    </row>
    <row r="3095" spans="1:6" ht="15.75">
      <c r="A3095" s="22" t="s">
        <v>1441</v>
      </c>
      <c r="B3095" s="26">
        <v>43341</v>
      </c>
      <c r="C3095" s="27">
        <v>0</v>
      </c>
      <c r="D3095" s="25" t="str">
        <f t="shared" si="96"/>
        <v>201835</v>
      </c>
      <c r="E3095" s="22" t="str">
        <f t="shared" ca="1" si="97"/>
        <v>201808</v>
      </c>
      <c r="F3095" s="22">
        <v>2018</v>
      </c>
    </row>
    <row r="3096" spans="1:6" ht="15.75">
      <c r="A3096" s="22" t="s">
        <v>1442</v>
      </c>
      <c r="B3096" s="23">
        <v>43342</v>
      </c>
      <c r="C3096" s="24">
        <v>61.88</v>
      </c>
      <c r="D3096" s="25" t="str">
        <f t="shared" si="96"/>
        <v>201835</v>
      </c>
      <c r="E3096" s="22" t="str">
        <f t="shared" ca="1" si="97"/>
        <v>201808</v>
      </c>
      <c r="F3096" s="22">
        <v>2018</v>
      </c>
    </row>
    <row r="3097" spans="1:6" ht="15.75">
      <c r="A3097" s="22" t="s">
        <v>1442</v>
      </c>
      <c r="B3097" s="23">
        <v>43342</v>
      </c>
      <c r="C3097" s="24">
        <v>0</v>
      </c>
      <c r="D3097" s="25" t="str">
        <f t="shared" si="96"/>
        <v>201835</v>
      </c>
      <c r="E3097" s="22" t="str">
        <f t="shared" ca="1" si="97"/>
        <v>201808</v>
      </c>
      <c r="F3097" s="22">
        <v>2018</v>
      </c>
    </row>
    <row r="3098" spans="1:6" ht="15.75">
      <c r="A3098" s="22" t="s">
        <v>1441</v>
      </c>
      <c r="B3098" s="26">
        <v>43342</v>
      </c>
      <c r="C3098" s="27">
        <v>0</v>
      </c>
      <c r="D3098" s="25" t="str">
        <f t="shared" si="96"/>
        <v>201835</v>
      </c>
      <c r="E3098" s="22" t="str">
        <f t="shared" ca="1" si="97"/>
        <v>201808</v>
      </c>
      <c r="F3098" s="22">
        <v>2018</v>
      </c>
    </row>
    <row r="3099" spans="1:6" ht="15.75">
      <c r="A3099" s="22" t="s">
        <v>1442</v>
      </c>
      <c r="B3099" s="23">
        <v>43343</v>
      </c>
      <c r="C3099" s="24">
        <v>8.02</v>
      </c>
      <c r="D3099" s="25" t="str">
        <f t="shared" si="96"/>
        <v>201835</v>
      </c>
      <c r="E3099" s="22" t="str">
        <f t="shared" ca="1" si="97"/>
        <v>201808</v>
      </c>
      <c r="F3099" s="22">
        <v>2018</v>
      </c>
    </row>
    <row r="3100" spans="1:6" ht="15.75">
      <c r="A3100" s="22" t="s">
        <v>1442</v>
      </c>
      <c r="B3100" s="23">
        <v>43343</v>
      </c>
      <c r="C3100" s="24">
        <v>0</v>
      </c>
      <c r="D3100" s="25" t="str">
        <f t="shared" si="96"/>
        <v>201835</v>
      </c>
      <c r="E3100" s="22" t="str">
        <f t="shared" ca="1" si="97"/>
        <v>201808</v>
      </c>
      <c r="F3100" s="22">
        <v>2018</v>
      </c>
    </row>
    <row r="3101" spans="1:6" ht="15.75">
      <c r="A3101" s="22" t="s">
        <v>1441</v>
      </c>
      <c r="B3101" s="26">
        <v>43343</v>
      </c>
      <c r="C3101" s="27">
        <v>0</v>
      </c>
      <c r="D3101" s="25" t="str">
        <f t="shared" si="96"/>
        <v>201835</v>
      </c>
      <c r="E3101" s="22" t="str">
        <f t="shared" ca="1" si="97"/>
        <v>201808</v>
      </c>
      <c r="F3101" s="22">
        <v>2018</v>
      </c>
    </row>
    <row r="3102" spans="1:6" ht="15.75">
      <c r="A3102" s="22" t="s">
        <v>1441</v>
      </c>
      <c r="B3102" s="26">
        <v>43344</v>
      </c>
      <c r="C3102" s="27">
        <v>0</v>
      </c>
      <c r="D3102" s="25" t="str">
        <f t="shared" si="96"/>
        <v>201835</v>
      </c>
      <c r="E3102" s="22" t="str">
        <f t="shared" ca="1" si="97"/>
        <v>201809</v>
      </c>
      <c r="F3102" s="22">
        <v>2018</v>
      </c>
    </row>
    <row r="3103" spans="1:6" ht="15.75">
      <c r="A3103" s="22" t="s">
        <v>1441</v>
      </c>
      <c r="B3103" s="26">
        <v>43345</v>
      </c>
      <c r="C3103" s="27">
        <v>0</v>
      </c>
      <c r="D3103" s="25" t="str">
        <f t="shared" si="96"/>
        <v>201835</v>
      </c>
      <c r="E3103" s="22" t="str">
        <f t="shared" ca="1" si="97"/>
        <v>201809</v>
      </c>
      <c r="F3103" s="22">
        <v>2018</v>
      </c>
    </row>
    <row r="3104" spans="1:6" ht="15.75">
      <c r="A3104" s="22" t="s">
        <v>1441</v>
      </c>
      <c r="B3104" s="26">
        <v>43346</v>
      </c>
      <c r="C3104" s="27">
        <v>0</v>
      </c>
      <c r="D3104" s="25" t="str">
        <f t="shared" si="96"/>
        <v>201836</v>
      </c>
      <c r="E3104" s="22" t="str">
        <f t="shared" ca="1" si="97"/>
        <v>201809</v>
      </c>
      <c r="F3104" s="22">
        <v>2018</v>
      </c>
    </row>
    <row r="3105" spans="1:6" ht="15.75">
      <c r="A3105" s="22" t="s">
        <v>1442</v>
      </c>
      <c r="B3105" s="23">
        <v>43347</v>
      </c>
      <c r="C3105" s="24">
        <v>0</v>
      </c>
      <c r="D3105" s="25" t="str">
        <f t="shared" si="96"/>
        <v>201836</v>
      </c>
      <c r="E3105" s="22" t="str">
        <f t="shared" ca="1" si="97"/>
        <v>201809</v>
      </c>
      <c r="F3105" s="22">
        <v>2018</v>
      </c>
    </row>
    <row r="3106" spans="1:6" ht="15.75">
      <c r="A3106" s="22" t="s">
        <v>1441</v>
      </c>
      <c r="B3106" s="26">
        <v>43347</v>
      </c>
      <c r="C3106" s="27">
        <v>0</v>
      </c>
      <c r="D3106" s="25" t="str">
        <f t="shared" si="96"/>
        <v>201836</v>
      </c>
      <c r="E3106" s="22" t="str">
        <f t="shared" ca="1" si="97"/>
        <v>201809</v>
      </c>
      <c r="F3106" s="22">
        <v>2018</v>
      </c>
    </row>
    <row r="3107" spans="1:6" ht="15.75">
      <c r="A3107" s="22" t="s">
        <v>1441</v>
      </c>
      <c r="B3107" s="26">
        <v>43348</v>
      </c>
      <c r="C3107" s="27">
        <v>0</v>
      </c>
      <c r="D3107" s="25" t="str">
        <f t="shared" si="96"/>
        <v>201836</v>
      </c>
      <c r="E3107" s="22" t="str">
        <f t="shared" ca="1" si="97"/>
        <v>201809</v>
      </c>
      <c r="F3107" s="22">
        <v>2018</v>
      </c>
    </row>
    <row r="3108" spans="1:6" ht="15.75">
      <c r="A3108" s="22" t="s">
        <v>1441</v>
      </c>
      <c r="B3108" s="26">
        <v>43349</v>
      </c>
      <c r="C3108" s="27">
        <v>0</v>
      </c>
      <c r="D3108" s="25" t="str">
        <f t="shared" si="96"/>
        <v>201836</v>
      </c>
      <c r="E3108" s="22" t="str">
        <f t="shared" ca="1" si="97"/>
        <v>201809</v>
      </c>
      <c r="F3108" s="22">
        <v>2018</v>
      </c>
    </row>
    <row r="3109" spans="1:6" ht="15.75">
      <c r="A3109" s="22" t="s">
        <v>1441</v>
      </c>
      <c r="B3109" s="26">
        <v>43350</v>
      </c>
      <c r="C3109" s="27">
        <v>0</v>
      </c>
      <c r="D3109" s="25" t="str">
        <f t="shared" si="96"/>
        <v>201836</v>
      </c>
      <c r="E3109" s="22" t="str">
        <f t="shared" ca="1" si="97"/>
        <v>201809</v>
      </c>
      <c r="F3109" s="22">
        <v>2018</v>
      </c>
    </row>
    <row r="3110" spans="1:6" ht="15.75">
      <c r="A3110" s="22" t="s">
        <v>1441</v>
      </c>
      <c r="B3110" s="26">
        <v>43351</v>
      </c>
      <c r="C3110" s="27">
        <v>0</v>
      </c>
      <c r="D3110" s="25" t="str">
        <f t="shared" si="96"/>
        <v>201836</v>
      </c>
      <c r="E3110" s="22" t="str">
        <f t="shared" ca="1" si="97"/>
        <v>201809</v>
      </c>
      <c r="F3110" s="22">
        <v>2018</v>
      </c>
    </row>
    <row r="3111" spans="1:6" ht="15.75">
      <c r="A3111" s="22" t="s">
        <v>1441</v>
      </c>
      <c r="B3111" s="26">
        <v>43352</v>
      </c>
      <c r="C3111" s="27">
        <v>0</v>
      </c>
      <c r="D3111" s="25" t="str">
        <f t="shared" si="96"/>
        <v>201836</v>
      </c>
      <c r="E3111" s="22" t="str">
        <f t="shared" ca="1" si="97"/>
        <v>201809</v>
      </c>
      <c r="F3111" s="22">
        <v>2018</v>
      </c>
    </row>
    <row r="3112" spans="1:6" ht="15.75">
      <c r="A3112" s="22" t="s">
        <v>1442</v>
      </c>
      <c r="B3112" s="23">
        <v>43353</v>
      </c>
      <c r="C3112" s="24">
        <v>0</v>
      </c>
      <c r="D3112" s="25" t="str">
        <f t="shared" si="96"/>
        <v>201837</v>
      </c>
      <c r="E3112" s="22" t="str">
        <f t="shared" ca="1" si="97"/>
        <v>201809</v>
      </c>
      <c r="F3112" s="22">
        <v>2018</v>
      </c>
    </row>
    <row r="3113" spans="1:6" ht="15.75">
      <c r="A3113" s="22" t="s">
        <v>1441</v>
      </c>
      <c r="B3113" s="26">
        <v>43353</v>
      </c>
      <c r="C3113" s="27">
        <v>0</v>
      </c>
      <c r="D3113" s="25" t="str">
        <f t="shared" si="96"/>
        <v>201837</v>
      </c>
      <c r="E3113" s="22" t="str">
        <f t="shared" ca="1" si="97"/>
        <v>201809</v>
      </c>
      <c r="F3113" s="22">
        <v>2018</v>
      </c>
    </row>
    <row r="3114" spans="1:6" ht="15.75">
      <c r="A3114" s="22" t="s">
        <v>1441</v>
      </c>
      <c r="B3114" s="26">
        <v>43354</v>
      </c>
      <c r="C3114" s="27">
        <v>0</v>
      </c>
      <c r="D3114" s="25" t="str">
        <f t="shared" si="96"/>
        <v>201837</v>
      </c>
      <c r="E3114" s="22" t="str">
        <f t="shared" ca="1" si="97"/>
        <v>201809</v>
      </c>
      <c r="F3114" s="22">
        <v>2018</v>
      </c>
    </row>
    <row r="3115" spans="1:6" ht="15.75">
      <c r="A3115" s="22" t="s">
        <v>1441</v>
      </c>
      <c r="B3115" s="26">
        <v>43355</v>
      </c>
      <c r="C3115" s="27">
        <v>0</v>
      </c>
      <c r="D3115" s="25" t="str">
        <f t="shared" si="96"/>
        <v>201837</v>
      </c>
      <c r="E3115" s="22" t="str">
        <f t="shared" ca="1" si="97"/>
        <v>201809</v>
      </c>
      <c r="F3115" s="22">
        <v>2018</v>
      </c>
    </row>
    <row r="3116" spans="1:6" ht="15.75">
      <c r="A3116" s="22" t="s">
        <v>1441</v>
      </c>
      <c r="B3116" s="26">
        <v>43356</v>
      </c>
      <c r="C3116" s="27">
        <v>0</v>
      </c>
      <c r="D3116" s="25" t="str">
        <f t="shared" si="96"/>
        <v>201837</v>
      </c>
      <c r="E3116" s="22" t="str">
        <f t="shared" ca="1" si="97"/>
        <v>201809</v>
      </c>
      <c r="F3116" s="22">
        <v>2018</v>
      </c>
    </row>
    <row r="3117" spans="1:6" ht="15.75">
      <c r="A3117" s="22" t="s">
        <v>1441</v>
      </c>
      <c r="B3117" s="26">
        <v>43357</v>
      </c>
      <c r="C3117" s="27">
        <v>0</v>
      </c>
      <c r="D3117" s="25" t="str">
        <f t="shared" si="96"/>
        <v>201837</v>
      </c>
      <c r="E3117" s="22" t="str">
        <f t="shared" ca="1" si="97"/>
        <v>201809</v>
      </c>
      <c r="F3117" s="22">
        <v>2018</v>
      </c>
    </row>
    <row r="3118" spans="1:6" ht="15.75">
      <c r="A3118" s="22" t="s">
        <v>1441</v>
      </c>
      <c r="B3118" s="26">
        <v>43358</v>
      </c>
      <c r="C3118" s="27">
        <v>0</v>
      </c>
      <c r="D3118" s="25" t="str">
        <f t="shared" si="96"/>
        <v>201837</v>
      </c>
      <c r="E3118" s="22" t="str">
        <f t="shared" ca="1" si="97"/>
        <v>201809</v>
      </c>
      <c r="F3118" s="22">
        <v>2018</v>
      </c>
    </row>
    <row r="3119" spans="1:6" ht="15.75">
      <c r="A3119" s="22" t="s">
        <v>1441</v>
      </c>
      <c r="B3119" s="26">
        <v>43359</v>
      </c>
      <c r="C3119" s="27">
        <v>0</v>
      </c>
      <c r="D3119" s="25" t="str">
        <f t="shared" si="96"/>
        <v>201837</v>
      </c>
      <c r="E3119" s="22" t="str">
        <f t="shared" ca="1" si="97"/>
        <v>201809</v>
      </c>
      <c r="F3119" s="22">
        <v>0</v>
      </c>
    </row>
    <row r="3120" spans="1:6" ht="15.75">
      <c r="A3120" s="22" t="s">
        <v>1441</v>
      </c>
      <c r="B3120" s="26">
        <v>43360</v>
      </c>
      <c r="C3120" s="27">
        <v>0</v>
      </c>
      <c r="D3120" s="25" t="str">
        <f t="shared" si="96"/>
        <v>201838</v>
      </c>
      <c r="E3120" s="22" t="str">
        <f t="shared" ca="1" si="97"/>
        <v>201809</v>
      </c>
      <c r="F3120" s="22">
        <v>0</v>
      </c>
    </row>
    <row r="3121" spans="1:6" ht="15.75">
      <c r="A3121" s="22" t="s">
        <v>1441</v>
      </c>
      <c r="B3121" s="26">
        <v>43361</v>
      </c>
      <c r="C3121" s="27">
        <v>0</v>
      </c>
      <c r="D3121" s="25" t="str">
        <f t="shared" si="96"/>
        <v>201838</v>
      </c>
      <c r="E3121" s="22" t="str">
        <f t="shared" ca="1" si="97"/>
        <v>201809</v>
      </c>
      <c r="F3121" s="22">
        <v>0</v>
      </c>
    </row>
    <row r="3122" spans="1:6" ht="15.75">
      <c r="A3122" s="22" t="s">
        <v>1441</v>
      </c>
      <c r="B3122" s="26">
        <v>43362</v>
      </c>
      <c r="C3122" s="27">
        <v>0</v>
      </c>
      <c r="D3122" s="25" t="str">
        <f t="shared" si="96"/>
        <v>201838</v>
      </c>
      <c r="E3122" s="22" t="str">
        <f t="shared" ca="1" si="97"/>
        <v>201809</v>
      </c>
      <c r="F3122" s="22">
        <v>0</v>
      </c>
    </row>
    <row r="3123" spans="1:6" ht="15.75">
      <c r="A3123" s="22" t="s">
        <v>1441</v>
      </c>
      <c r="B3123" s="26">
        <v>43363</v>
      </c>
      <c r="C3123" s="27">
        <v>0</v>
      </c>
      <c r="D3123" s="25" t="str">
        <f t="shared" si="96"/>
        <v>201838</v>
      </c>
      <c r="E3123" s="22" t="str">
        <f t="shared" ca="1" si="97"/>
        <v>201809</v>
      </c>
      <c r="F3123" s="22">
        <v>0</v>
      </c>
    </row>
    <row r="3124" spans="1:6" ht="15.75">
      <c r="A3124" s="22" t="s">
        <v>1441</v>
      </c>
      <c r="B3124" s="26">
        <v>43364</v>
      </c>
      <c r="C3124" s="27">
        <v>0</v>
      </c>
      <c r="D3124" s="25" t="str">
        <f t="shared" si="96"/>
        <v>201838</v>
      </c>
      <c r="E3124" s="22" t="str">
        <f t="shared" ca="1" si="97"/>
        <v>201809</v>
      </c>
      <c r="F3124" s="22">
        <v>0</v>
      </c>
    </row>
    <row r="3125" spans="1:6" ht="15.75">
      <c r="A3125" s="22" t="s">
        <v>1441</v>
      </c>
      <c r="B3125" s="26">
        <v>43365</v>
      </c>
      <c r="C3125" s="27">
        <v>0</v>
      </c>
      <c r="D3125" s="25" t="str">
        <f t="shared" si="96"/>
        <v>201838</v>
      </c>
      <c r="E3125" s="22" t="str">
        <f t="shared" ca="1" si="97"/>
        <v>201809</v>
      </c>
      <c r="F3125" s="22">
        <v>0</v>
      </c>
    </row>
    <row r="3126" spans="1:6" ht="15.75">
      <c r="A3126" s="22" t="s">
        <v>1441</v>
      </c>
      <c r="B3126" s="26">
        <v>43366</v>
      </c>
      <c r="C3126" s="27">
        <v>0</v>
      </c>
      <c r="D3126" s="25" t="str">
        <f t="shared" si="96"/>
        <v>201838</v>
      </c>
      <c r="E3126" s="22" t="str">
        <f t="shared" ca="1" si="97"/>
        <v>201809</v>
      </c>
      <c r="F3126" s="22">
        <v>0</v>
      </c>
    </row>
    <row r="3127" spans="1:6" ht="15.75">
      <c r="A3127" s="22" t="s">
        <v>1441</v>
      </c>
      <c r="B3127" s="26">
        <v>43367</v>
      </c>
      <c r="C3127" s="27">
        <v>0</v>
      </c>
      <c r="D3127" s="25" t="str">
        <f t="shared" si="96"/>
        <v>201839</v>
      </c>
      <c r="E3127" s="22" t="str">
        <f t="shared" ca="1" si="97"/>
        <v>201809</v>
      </c>
      <c r="F3127" s="22">
        <v>0</v>
      </c>
    </row>
    <row r="3128" spans="1:6" ht="15.75">
      <c r="A3128" s="22" t="s">
        <v>1441</v>
      </c>
      <c r="B3128" s="26">
        <v>43368</v>
      </c>
      <c r="C3128" s="27">
        <v>0</v>
      </c>
      <c r="D3128" s="25" t="str">
        <f t="shared" si="96"/>
        <v>201839</v>
      </c>
      <c r="E3128" s="22" t="str">
        <f t="shared" ca="1" si="97"/>
        <v>201809</v>
      </c>
      <c r="F3128" s="22">
        <v>0</v>
      </c>
    </row>
    <row r="3129" spans="1:6" ht="15.75">
      <c r="A3129" s="22" t="s">
        <v>1441</v>
      </c>
      <c r="B3129" s="26">
        <v>43369</v>
      </c>
      <c r="C3129" s="27">
        <v>0</v>
      </c>
      <c r="D3129" s="25" t="str">
        <f t="shared" si="96"/>
        <v>201839</v>
      </c>
      <c r="E3129" s="22" t="str">
        <f t="shared" ca="1" si="97"/>
        <v>201809</v>
      </c>
      <c r="F3129" s="22">
        <v>0</v>
      </c>
    </row>
    <row r="3130" spans="1:6" ht="15.75">
      <c r="A3130" s="22" t="s">
        <v>1441</v>
      </c>
      <c r="B3130" s="26">
        <v>43370</v>
      </c>
      <c r="C3130" s="27">
        <v>0</v>
      </c>
      <c r="D3130" s="25" t="str">
        <f t="shared" si="96"/>
        <v>201839</v>
      </c>
      <c r="E3130" s="22" t="str">
        <f t="shared" ca="1" si="97"/>
        <v>201809</v>
      </c>
      <c r="F3130" s="22">
        <v>0</v>
      </c>
    </row>
    <row r="3131" spans="1:6" ht="15.75">
      <c r="A3131" s="22" t="s">
        <v>1441</v>
      </c>
      <c r="B3131" s="26">
        <v>43371</v>
      </c>
      <c r="C3131" s="27">
        <v>0</v>
      </c>
      <c r="D3131" s="25" t="str">
        <f t="shared" si="96"/>
        <v>201839</v>
      </c>
      <c r="E3131" s="22" t="str">
        <f t="shared" ca="1" si="97"/>
        <v>201809</v>
      </c>
      <c r="F3131" s="22">
        <v>0</v>
      </c>
    </row>
    <row r="3132" spans="1:6" ht="15.75">
      <c r="A3132" s="22" t="s">
        <v>1441</v>
      </c>
      <c r="B3132" s="26">
        <v>43372</v>
      </c>
      <c r="C3132" s="27">
        <v>0</v>
      </c>
      <c r="D3132" s="25" t="str">
        <f t="shared" si="96"/>
        <v>201839</v>
      </c>
      <c r="E3132" s="22" t="str">
        <f t="shared" ca="1" si="97"/>
        <v>201809</v>
      </c>
      <c r="F3132" s="22">
        <v>0</v>
      </c>
    </row>
    <row r="3133" spans="1:6" ht="15.75">
      <c r="A3133" s="22" t="s">
        <v>1441</v>
      </c>
      <c r="B3133" s="26">
        <v>43373</v>
      </c>
      <c r="C3133" s="27">
        <v>0</v>
      </c>
      <c r="D3133" s="25" t="str">
        <f t="shared" si="96"/>
        <v>201839</v>
      </c>
      <c r="E3133" s="22" t="str">
        <f t="shared" ca="1" si="97"/>
        <v>201809</v>
      </c>
      <c r="F3133" s="22">
        <v>0</v>
      </c>
    </row>
    <row r="3134" spans="1:6" ht="15.75">
      <c r="A3134" s="22" t="s">
        <v>1441</v>
      </c>
      <c r="B3134" s="26">
        <v>43374</v>
      </c>
      <c r="C3134" s="27">
        <v>0</v>
      </c>
      <c r="D3134" s="25" t="str">
        <f t="shared" si="96"/>
        <v>201840</v>
      </c>
      <c r="E3134" s="22" t="str">
        <f t="shared" ca="1" si="97"/>
        <v>201810</v>
      </c>
      <c r="F3134" s="22">
        <v>2018</v>
      </c>
    </row>
    <row r="3135" spans="1:6" ht="15.75">
      <c r="A3135" s="22" t="s">
        <v>1441</v>
      </c>
      <c r="B3135" s="26">
        <v>43375</v>
      </c>
      <c r="C3135" s="27">
        <v>0</v>
      </c>
      <c r="D3135" s="25" t="str">
        <f t="shared" si="96"/>
        <v>201840</v>
      </c>
      <c r="E3135" s="22" t="str">
        <f t="shared" ca="1" si="97"/>
        <v>201810</v>
      </c>
      <c r="F3135" s="22">
        <v>2018</v>
      </c>
    </row>
    <row r="3136" spans="1:6" ht="15.75">
      <c r="A3136" s="22" t="s">
        <v>1441</v>
      </c>
      <c r="B3136" s="26">
        <v>43376</v>
      </c>
      <c r="C3136" s="27">
        <v>0</v>
      </c>
      <c r="D3136" s="25" t="str">
        <f t="shared" si="96"/>
        <v>201840</v>
      </c>
      <c r="E3136" s="22" t="str">
        <f t="shared" ca="1" si="97"/>
        <v>201810</v>
      </c>
      <c r="F3136" s="22">
        <v>2018</v>
      </c>
    </row>
    <row r="3137" spans="1:6" ht="15.75">
      <c r="A3137" s="22" t="s">
        <v>1441</v>
      </c>
      <c r="B3137" s="26">
        <v>43377</v>
      </c>
      <c r="C3137" s="27">
        <v>0</v>
      </c>
      <c r="D3137" s="25" t="str">
        <f t="shared" si="96"/>
        <v>201840</v>
      </c>
      <c r="E3137" s="22" t="str">
        <f t="shared" ca="1" si="97"/>
        <v>201810</v>
      </c>
      <c r="F3137" s="22">
        <v>2018</v>
      </c>
    </row>
    <row r="3138" spans="1:6" ht="15.75">
      <c r="A3138" s="22" t="s">
        <v>1441</v>
      </c>
      <c r="B3138" s="26">
        <v>43378</v>
      </c>
      <c r="C3138" s="27">
        <v>0</v>
      </c>
      <c r="D3138" s="25" t="str">
        <f t="shared" si="96"/>
        <v>201840</v>
      </c>
      <c r="E3138" s="22" t="str">
        <f t="shared" ca="1" si="97"/>
        <v>201810</v>
      </c>
      <c r="F3138" s="22">
        <v>2018</v>
      </c>
    </row>
    <row r="3139" spans="1:6" ht="15.75">
      <c r="A3139" s="22" t="s">
        <v>1441</v>
      </c>
      <c r="B3139" s="26">
        <v>43379</v>
      </c>
      <c r="C3139" s="27">
        <v>0</v>
      </c>
      <c r="D3139" s="25" t="str">
        <f t="shared" ref="D3139:D3202" si="98">CONCATENATE(YEAR(B3139-WEEKDAY(B3139,3)+3),TEXT(WEEKNUM(B3139,21),"00"))</f>
        <v>201840</v>
      </c>
      <c r="E3139" s="22" t="str">
        <f t="shared" ref="E3139:E3202" ca="1" si="99">IF(
  AND(
    YEAR(B3139)=YEAR(TODAY())-1,
    MONTH(B3139)=MONTH(TODAY()),
    DAY(B3139)&gt;DAY($H$2)
  ),
  0,
  CONCATENATE(YEAR(B3139),TEXT(MONTH(B3139),"00"))
)</f>
        <v>201810</v>
      </c>
      <c r="F3139" s="22">
        <v>2018</v>
      </c>
    </row>
    <row r="3140" spans="1:6" ht="15.75">
      <c r="A3140" s="22" t="s">
        <v>1441</v>
      </c>
      <c r="B3140" s="26">
        <v>43380</v>
      </c>
      <c r="C3140" s="27">
        <v>0</v>
      </c>
      <c r="D3140" s="25" t="str">
        <f t="shared" si="98"/>
        <v>201840</v>
      </c>
      <c r="E3140" s="22" t="str">
        <f t="shared" ca="1" si="99"/>
        <v>201810</v>
      </c>
      <c r="F3140" s="22">
        <v>2018</v>
      </c>
    </row>
    <row r="3141" spans="1:6" ht="15.75">
      <c r="A3141" s="22" t="s">
        <v>1441</v>
      </c>
      <c r="B3141" s="26">
        <v>43381</v>
      </c>
      <c r="C3141" s="27">
        <v>0</v>
      </c>
      <c r="D3141" s="25" t="str">
        <f t="shared" si="98"/>
        <v>201841</v>
      </c>
      <c r="E3141" s="22" t="str">
        <f t="shared" ca="1" si="99"/>
        <v>201810</v>
      </c>
      <c r="F3141" s="22">
        <v>2018</v>
      </c>
    </row>
    <row r="3142" spans="1:6" ht="15.75">
      <c r="A3142" s="22" t="s">
        <v>1441</v>
      </c>
      <c r="B3142" s="26">
        <v>43382</v>
      </c>
      <c r="C3142" s="27">
        <v>0</v>
      </c>
      <c r="D3142" s="25" t="str">
        <f t="shared" si="98"/>
        <v>201841</v>
      </c>
      <c r="E3142" s="22" t="str">
        <f t="shared" ca="1" si="99"/>
        <v>201810</v>
      </c>
      <c r="F3142" s="22">
        <v>2018</v>
      </c>
    </row>
    <row r="3143" spans="1:6" ht="15.75">
      <c r="A3143" s="22" t="s">
        <v>1441</v>
      </c>
      <c r="B3143" s="26">
        <v>43383</v>
      </c>
      <c r="C3143" s="27">
        <v>0</v>
      </c>
      <c r="D3143" s="25" t="str">
        <f t="shared" si="98"/>
        <v>201841</v>
      </c>
      <c r="E3143" s="22" t="str">
        <f t="shared" ca="1" si="99"/>
        <v>201810</v>
      </c>
      <c r="F3143" s="22">
        <v>2018</v>
      </c>
    </row>
    <row r="3144" spans="1:6" ht="15.75">
      <c r="A3144" s="22" t="s">
        <v>1441</v>
      </c>
      <c r="B3144" s="26">
        <v>43384</v>
      </c>
      <c r="C3144" s="27">
        <v>0</v>
      </c>
      <c r="D3144" s="25" t="str">
        <f t="shared" si="98"/>
        <v>201841</v>
      </c>
      <c r="E3144" s="22" t="str">
        <f t="shared" ca="1" si="99"/>
        <v>201810</v>
      </c>
      <c r="F3144" s="22">
        <v>2018</v>
      </c>
    </row>
    <row r="3145" spans="1:6" ht="15.75">
      <c r="A3145" s="22" t="s">
        <v>1441</v>
      </c>
      <c r="B3145" s="26">
        <v>43385</v>
      </c>
      <c r="C3145" s="27">
        <v>0</v>
      </c>
      <c r="D3145" s="25" t="str">
        <f t="shared" si="98"/>
        <v>201841</v>
      </c>
      <c r="E3145" s="22" t="str">
        <f t="shared" ca="1" si="99"/>
        <v>201810</v>
      </c>
      <c r="F3145" s="22">
        <v>2018</v>
      </c>
    </row>
    <row r="3146" spans="1:6" ht="15.75">
      <c r="A3146" s="22" t="s">
        <v>1441</v>
      </c>
      <c r="B3146" s="26">
        <v>43386</v>
      </c>
      <c r="C3146" s="27">
        <v>0</v>
      </c>
      <c r="D3146" s="25" t="str">
        <f t="shared" si="98"/>
        <v>201841</v>
      </c>
      <c r="E3146" s="22" t="str">
        <f t="shared" ca="1" si="99"/>
        <v>201810</v>
      </c>
      <c r="F3146" s="22">
        <v>2018</v>
      </c>
    </row>
    <row r="3147" spans="1:6" ht="15.75">
      <c r="A3147" s="22" t="s">
        <v>1441</v>
      </c>
      <c r="B3147" s="26">
        <v>43387</v>
      </c>
      <c r="C3147" s="27">
        <v>0</v>
      </c>
      <c r="D3147" s="25" t="str">
        <f t="shared" si="98"/>
        <v>201841</v>
      </c>
      <c r="E3147" s="22" t="str">
        <f t="shared" ca="1" si="99"/>
        <v>201810</v>
      </c>
      <c r="F3147" s="22">
        <v>2018</v>
      </c>
    </row>
    <row r="3148" spans="1:6" ht="15.75">
      <c r="A3148" s="22" t="s">
        <v>1441</v>
      </c>
      <c r="B3148" s="26">
        <v>43388</v>
      </c>
      <c r="C3148" s="27">
        <v>0</v>
      </c>
      <c r="D3148" s="25" t="str">
        <f t="shared" si="98"/>
        <v>201842</v>
      </c>
      <c r="E3148" s="22" t="str">
        <f t="shared" ca="1" si="99"/>
        <v>201810</v>
      </c>
      <c r="F3148" s="22">
        <v>2018</v>
      </c>
    </row>
    <row r="3149" spans="1:6" ht="15.75">
      <c r="A3149" s="22" t="s">
        <v>1441</v>
      </c>
      <c r="B3149" s="26">
        <v>43389</v>
      </c>
      <c r="C3149" s="27">
        <v>0</v>
      </c>
      <c r="D3149" s="25" t="str">
        <f t="shared" si="98"/>
        <v>201842</v>
      </c>
      <c r="E3149" s="22">
        <f t="shared" ca="1" si="99"/>
        <v>0</v>
      </c>
      <c r="F3149" s="22">
        <v>2018</v>
      </c>
    </row>
    <row r="3150" spans="1:6" ht="15.75">
      <c r="A3150" s="22" t="s">
        <v>1441</v>
      </c>
      <c r="B3150" s="26">
        <v>43390</v>
      </c>
      <c r="C3150" s="27">
        <v>0</v>
      </c>
      <c r="D3150" s="25" t="str">
        <f t="shared" si="98"/>
        <v>201842</v>
      </c>
      <c r="E3150" s="22">
        <f t="shared" ca="1" si="99"/>
        <v>0</v>
      </c>
      <c r="F3150" s="22">
        <v>2018</v>
      </c>
    </row>
    <row r="3151" spans="1:6" ht="15.75">
      <c r="A3151" s="22" t="s">
        <v>1441</v>
      </c>
      <c r="B3151" s="26">
        <v>43391</v>
      </c>
      <c r="C3151" s="27">
        <v>0</v>
      </c>
      <c r="D3151" s="25" t="str">
        <f t="shared" si="98"/>
        <v>201842</v>
      </c>
      <c r="E3151" s="22">
        <f t="shared" ca="1" si="99"/>
        <v>0</v>
      </c>
      <c r="F3151" s="22">
        <v>2018</v>
      </c>
    </row>
    <row r="3152" spans="1:6" ht="15.75">
      <c r="A3152" s="22" t="s">
        <v>1441</v>
      </c>
      <c r="B3152" s="26">
        <v>43392</v>
      </c>
      <c r="C3152" s="27">
        <v>0</v>
      </c>
      <c r="D3152" s="25" t="str">
        <f t="shared" si="98"/>
        <v>201842</v>
      </c>
      <c r="E3152" s="22">
        <f t="shared" ca="1" si="99"/>
        <v>0</v>
      </c>
      <c r="F3152" s="22">
        <v>2018</v>
      </c>
    </row>
    <row r="3153" spans="1:6" ht="15.75">
      <c r="A3153" s="22" t="s">
        <v>1441</v>
      </c>
      <c r="B3153" s="26">
        <v>43393</v>
      </c>
      <c r="C3153" s="27">
        <v>0</v>
      </c>
      <c r="D3153" s="25" t="str">
        <f t="shared" si="98"/>
        <v>201842</v>
      </c>
      <c r="E3153" s="22">
        <f t="shared" ca="1" si="99"/>
        <v>0</v>
      </c>
      <c r="F3153" s="22">
        <v>2018</v>
      </c>
    </row>
    <row r="3154" spans="1:6" ht="15.75">
      <c r="A3154" s="22" t="s">
        <v>1441</v>
      </c>
      <c r="B3154" s="26">
        <v>43394</v>
      </c>
      <c r="C3154" s="27">
        <v>0</v>
      </c>
      <c r="D3154" s="25" t="str">
        <f t="shared" si="98"/>
        <v>201842</v>
      </c>
      <c r="E3154" s="22">
        <f t="shared" ca="1" si="99"/>
        <v>0</v>
      </c>
      <c r="F3154" s="22">
        <v>2018</v>
      </c>
    </row>
    <row r="3155" spans="1:6" ht="15.75">
      <c r="A3155" s="22" t="s">
        <v>1441</v>
      </c>
      <c r="B3155" s="26">
        <v>43395</v>
      </c>
      <c r="C3155" s="27">
        <v>0</v>
      </c>
      <c r="D3155" s="25" t="str">
        <f t="shared" si="98"/>
        <v>201843</v>
      </c>
      <c r="E3155" s="22">
        <f t="shared" ca="1" si="99"/>
        <v>0</v>
      </c>
      <c r="F3155" s="22">
        <v>2018</v>
      </c>
    </row>
    <row r="3156" spans="1:6" ht="15.75">
      <c r="A3156" s="22" t="s">
        <v>1441</v>
      </c>
      <c r="B3156" s="26">
        <v>43396</v>
      </c>
      <c r="C3156" s="27">
        <v>0</v>
      </c>
      <c r="D3156" s="25" t="str">
        <f t="shared" si="98"/>
        <v>201843</v>
      </c>
      <c r="E3156" s="22">
        <f t="shared" ca="1" si="99"/>
        <v>0</v>
      </c>
      <c r="F3156" s="22">
        <v>2018</v>
      </c>
    </row>
    <row r="3157" spans="1:6" ht="15.75">
      <c r="A3157" s="22" t="s">
        <v>1441</v>
      </c>
      <c r="B3157" s="26">
        <v>43397</v>
      </c>
      <c r="C3157" s="27">
        <v>0</v>
      </c>
      <c r="D3157" s="25" t="str">
        <f t="shared" si="98"/>
        <v>201843</v>
      </c>
      <c r="E3157" s="22">
        <f t="shared" ca="1" si="99"/>
        <v>0</v>
      </c>
      <c r="F3157" s="22">
        <v>2018</v>
      </c>
    </row>
    <row r="3158" spans="1:6" ht="15.75">
      <c r="A3158" s="22" t="s">
        <v>1441</v>
      </c>
      <c r="B3158" s="26">
        <v>43398</v>
      </c>
      <c r="C3158" s="27">
        <v>0</v>
      </c>
      <c r="D3158" s="25" t="str">
        <f t="shared" si="98"/>
        <v>201843</v>
      </c>
      <c r="E3158" s="22">
        <f t="shared" ca="1" si="99"/>
        <v>0</v>
      </c>
      <c r="F3158" s="22">
        <v>2018</v>
      </c>
    </row>
    <row r="3159" spans="1:6" ht="15.75">
      <c r="A3159" s="22" t="s">
        <v>1441</v>
      </c>
      <c r="B3159" s="26">
        <v>43399</v>
      </c>
      <c r="C3159" s="27">
        <v>0</v>
      </c>
      <c r="D3159" s="25" t="str">
        <f t="shared" si="98"/>
        <v>201843</v>
      </c>
      <c r="E3159" s="22">
        <f t="shared" ca="1" si="99"/>
        <v>0</v>
      </c>
      <c r="F3159" s="22">
        <v>2018</v>
      </c>
    </row>
    <row r="3160" spans="1:6" ht="15.75">
      <c r="A3160" s="22" t="s">
        <v>1441</v>
      </c>
      <c r="B3160" s="26">
        <v>43400</v>
      </c>
      <c r="C3160" s="27">
        <v>0</v>
      </c>
      <c r="D3160" s="25" t="str">
        <f t="shared" si="98"/>
        <v>201843</v>
      </c>
      <c r="E3160" s="22">
        <f t="shared" ca="1" si="99"/>
        <v>0</v>
      </c>
      <c r="F3160" s="22">
        <v>2018</v>
      </c>
    </row>
    <row r="3161" spans="1:6" ht="15.75">
      <c r="A3161" s="22" t="s">
        <v>1441</v>
      </c>
      <c r="B3161" s="26">
        <v>43401</v>
      </c>
      <c r="C3161" s="27">
        <v>0</v>
      </c>
      <c r="D3161" s="25" t="str">
        <f t="shared" si="98"/>
        <v>201843</v>
      </c>
      <c r="E3161" s="22">
        <f t="shared" ca="1" si="99"/>
        <v>0</v>
      </c>
      <c r="F3161" s="22">
        <v>2018</v>
      </c>
    </row>
    <row r="3162" spans="1:6" ht="15.75">
      <c r="A3162" s="22" t="s">
        <v>1441</v>
      </c>
      <c r="B3162" s="26">
        <v>43402</v>
      </c>
      <c r="C3162" s="27">
        <v>0</v>
      </c>
      <c r="D3162" s="25" t="str">
        <f t="shared" si="98"/>
        <v>201844</v>
      </c>
      <c r="E3162" s="22">
        <f t="shared" ca="1" si="99"/>
        <v>0</v>
      </c>
      <c r="F3162" s="22">
        <v>2018</v>
      </c>
    </row>
    <row r="3163" spans="1:6" ht="15.75">
      <c r="A3163" s="22" t="s">
        <v>1441</v>
      </c>
      <c r="B3163" s="26">
        <v>43403</v>
      </c>
      <c r="C3163" s="27">
        <v>0</v>
      </c>
      <c r="D3163" s="25" t="str">
        <f t="shared" si="98"/>
        <v>201844</v>
      </c>
      <c r="E3163" s="22">
        <f t="shared" ca="1" si="99"/>
        <v>0</v>
      </c>
      <c r="F3163" s="22">
        <v>2018</v>
      </c>
    </row>
    <row r="3164" spans="1:6" ht="15.75">
      <c r="A3164" s="22" t="s">
        <v>1441</v>
      </c>
      <c r="B3164" s="26">
        <v>43404</v>
      </c>
      <c r="C3164" s="27">
        <v>0</v>
      </c>
      <c r="D3164" s="25" t="str">
        <f t="shared" si="98"/>
        <v>201844</v>
      </c>
      <c r="E3164" s="22">
        <f t="shared" ca="1" si="99"/>
        <v>0</v>
      </c>
      <c r="F3164" s="22">
        <v>2018</v>
      </c>
    </row>
    <row r="3165" spans="1:6" ht="15.75">
      <c r="A3165" s="22" t="s">
        <v>1441</v>
      </c>
      <c r="B3165" s="26">
        <v>43405</v>
      </c>
      <c r="C3165" s="27">
        <v>0</v>
      </c>
      <c r="D3165" s="25" t="str">
        <f t="shared" si="98"/>
        <v>201844</v>
      </c>
      <c r="E3165" s="22" t="str">
        <f t="shared" ca="1" si="99"/>
        <v>201811</v>
      </c>
      <c r="F3165" s="22">
        <v>2019</v>
      </c>
    </row>
    <row r="3166" spans="1:6" ht="15.75">
      <c r="A3166" s="22" t="s">
        <v>1441</v>
      </c>
      <c r="B3166" s="26">
        <v>43406</v>
      </c>
      <c r="C3166" s="27">
        <v>0</v>
      </c>
      <c r="D3166" s="25" t="str">
        <f t="shared" si="98"/>
        <v>201844</v>
      </c>
      <c r="E3166" s="22" t="str">
        <f t="shared" ca="1" si="99"/>
        <v>201811</v>
      </c>
      <c r="F3166" s="22">
        <v>2019</v>
      </c>
    </row>
    <row r="3167" spans="1:6" ht="15.75">
      <c r="A3167" s="22" t="s">
        <v>1441</v>
      </c>
      <c r="B3167" s="26">
        <v>43407</v>
      </c>
      <c r="C3167" s="27">
        <v>0</v>
      </c>
      <c r="D3167" s="25" t="str">
        <f t="shared" si="98"/>
        <v>201844</v>
      </c>
      <c r="E3167" s="22" t="str">
        <f t="shared" ca="1" si="99"/>
        <v>201811</v>
      </c>
      <c r="F3167" s="22">
        <v>2019</v>
      </c>
    </row>
    <row r="3168" spans="1:6" ht="15.75">
      <c r="A3168" s="22" t="s">
        <v>1441</v>
      </c>
      <c r="B3168" s="26">
        <v>43408</v>
      </c>
      <c r="C3168" s="27">
        <v>0</v>
      </c>
      <c r="D3168" s="25" t="str">
        <f t="shared" si="98"/>
        <v>201844</v>
      </c>
      <c r="E3168" s="22" t="str">
        <f t="shared" ca="1" si="99"/>
        <v>201811</v>
      </c>
      <c r="F3168" s="22">
        <v>2019</v>
      </c>
    </row>
    <row r="3169" spans="1:6" ht="15.75">
      <c r="A3169" s="22" t="s">
        <v>1441</v>
      </c>
      <c r="B3169" s="26">
        <v>43409</v>
      </c>
      <c r="C3169" s="27">
        <v>0</v>
      </c>
      <c r="D3169" s="25" t="str">
        <f t="shared" si="98"/>
        <v>201845</v>
      </c>
      <c r="E3169" s="22" t="str">
        <f t="shared" ca="1" si="99"/>
        <v>201811</v>
      </c>
      <c r="F3169" s="22">
        <v>2019</v>
      </c>
    </row>
    <row r="3170" spans="1:6" ht="15.75">
      <c r="A3170" s="22" t="s">
        <v>1441</v>
      </c>
      <c r="B3170" s="26">
        <v>43410</v>
      </c>
      <c r="C3170" s="27">
        <v>0</v>
      </c>
      <c r="D3170" s="25" t="str">
        <f t="shared" si="98"/>
        <v>201845</v>
      </c>
      <c r="E3170" s="22" t="str">
        <f t="shared" ca="1" si="99"/>
        <v>201811</v>
      </c>
      <c r="F3170" s="22">
        <v>2019</v>
      </c>
    </row>
    <row r="3171" spans="1:6" ht="15.75">
      <c r="A3171" s="22" t="s">
        <v>1441</v>
      </c>
      <c r="B3171" s="26">
        <v>43411</v>
      </c>
      <c r="C3171" s="27">
        <v>0</v>
      </c>
      <c r="D3171" s="25" t="str">
        <f t="shared" si="98"/>
        <v>201845</v>
      </c>
      <c r="E3171" s="22" t="str">
        <f t="shared" ca="1" si="99"/>
        <v>201811</v>
      </c>
      <c r="F3171" s="22">
        <v>2019</v>
      </c>
    </row>
    <row r="3172" spans="1:6" ht="15.75">
      <c r="A3172" s="22" t="s">
        <v>1441</v>
      </c>
      <c r="B3172" s="26">
        <v>43412</v>
      </c>
      <c r="C3172" s="27">
        <v>0</v>
      </c>
      <c r="D3172" s="25" t="str">
        <f t="shared" si="98"/>
        <v>201845</v>
      </c>
      <c r="E3172" s="22" t="str">
        <f t="shared" ca="1" si="99"/>
        <v>201811</v>
      </c>
      <c r="F3172" s="22">
        <v>2019</v>
      </c>
    </row>
    <row r="3173" spans="1:6" ht="15.75">
      <c r="A3173" s="22" t="s">
        <v>1441</v>
      </c>
      <c r="B3173" s="26">
        <v>43413</v>
      </c>
      <c r="C3173" s="27">
        <v>0</v>
      </c>
      <c r="D3173" s="25" t="str">
        <f t="shared" si="98"/>
        <v>201845</v>
      </c>
      <c r="E3173" s="22" t="str">
        <f t="shared" ca="1" si="99"/>
        <v>201811</v>
      </c>
      <c r="F3173" s="22">
        <v>2019</v>
      </c>
    </row>
    <row r="3174" spans="1:6" ht="15.75">
      <c r="A3174" s="22" t="s">
        <v>1441</v>
      </c>
      <c r="B3174" s="26">
        <v>43414</v>
      </c>
      <c r="C3174" s="27">
        <v>0</v>
      </c>
      <c r="D3174" s="25" t="str">
        <f t="shared" si="98"/>
        <v>201845</v>
      </c>
      <c r="E3174" s="22" t="str">
        <f t="shared" ca="1" si="99"/>
        <v>201811</v>
      </c>
      <c r="F3174" s="22">
        <v>2019</v>
      </c>
    </row>
    <row r="3175" spans="1:6" ht="15.75">
      <c r="A3175" s="22" t="s">
        <v>1441</v>
      </c>
      <c r="B3175" s="26">
        <v>43415</v>
      </c>
      <c r="C3175" s="27">
        <v>0</v>
      </c>
      <c r="D3175" s="25" t="str">
        <f t="shared" si="98"/>
        <v>201845</v>
      </c>
      <c r="E3175" s="22" t="str">
        <f t="shared" ca="1" si="99"/>
        <v>201811</v>
      </c>
      <c r="F3175" s="22">
        <v>2019</v>
      </c>
    </row>
    <row r="3176" spans="1:6" ht="15.75">
      <c r="A3176" s="22" t="s">
        <v>1441</v>
      </c>
      <c r="B3176" s="26">
        <v>43416</v>
      </c>
      <c r="C3176" s="27">
        <v>0</v>
      </c>
      <c r="D3176" s="25" t="str">
        <f t="shared" si="98"/>
        <v>201846</v>
      </c>
      <c r="E3176" s="22" t="str">
        <f t="shared" ca="1" si="99"/>
        <v>201811</v>
      </c>
      <c r="F3176" s="22">
        <v>2019</v>
      </c>
    </row>
    <row r="3177" spans="1:6" ht="15.75">
      <c r="A3177" s="22" t="s">
        <v>1441</v>
      </c>
      <c r="B3177" s="26">
        <v>43417</v>
      </c>
      <c r="C3177" s="27">
        <v>0</v>
      </c>
      <c r="D3177" s="25" t="str">
        <f t="shared" si="98"/>
        <v>201846</v>
      </c>
      <c r="E3177" s="22" t="str">
        <f t="shared" ca="1" si="99"/>
        <v>201811</v>
      </c>
      <c r="F3177" s="22">
        <v>2019</v>
      </c>
    </row>
    <row r="3178" spans="1:6" ht="15.75">
      <c r="A3178" s="22" t="s">
        <v>1441</v>
      </c>
      <c r="B3178" s="26">
        <v>43418</v>
      </c>
      <c r="C3178" s="27">
        <v>0</v>
      </c>
      <c r="D3178" s="25" t="str">
        <f t="shared" si="98"/>
        <v>201846</v>
      </c>
      <c r="E3178" s="22" t="str">
        <f t="shared" ca="1" si="99"/>
        <v>201811</v>
      </c>
      <c r="F3178" s="22">
        <v>2019</v>
      </c>
    </row>
    <row r="3179" spans="1:6" ht="15.75">
      <c r="A3179" s="22" t="s">
        <v>1441</v>
      </c>
      <c r="B3179" s="26">
        <v>43419</v>
      </c>
      <c r="C3179" s="27">
        <v>0</v>
      </c>
      <c r="D3179" s="25" t="str">
        <f t="shared" si="98"/>
        <v>201846</v>
      </c>
      <c r="E3179" s="22" t="str">
        <f t="shared" ca="1" si="99"/>
        <v>201811</v>
      </c>
      <c r="F3179" s="22">
        <v>2019</v>
      </c>
    </row>
    <row r="3180" spans="1:6" ht="15.75">
      <c r="A3180" s="22" t="s">
        <v>1441</v>
      </c>
      <c r="B3180" s="26">
        <v>43420</v>
      </c>
      <c r="C3180" s="27">
        <v>0</v>
      </c>
      <c r="D3180" s="25" t="str">
        <f t="shared" si="98"/>
        <v>201846</v>
      </c>
      <c r="E3180" s="22" t="str">
        <f t="shared" ca="1" si="99"/>
        <v>201811</v>
      </c>
      <c r="F3180" s="22">
        <v>2019</v>
      </c>
    </row>
    <row r="3181" spans="1:6" ht="15.75">
      <c r="A3181" s="22" t="s">
        <v>1441</v>
      </c>
      <c r="B3181" s="26">
        <v>43421</v>
      </c>
      <c r="C3181" s="27">
        <v>0</v>
      </c>
      <c r="D3181" s="25" t="str">
        <f t="shared" si="98"/>
        <v>201846</v>
      </c>
      <c r="E3181" s="22" t="str">
        <f t="shared" ca="1" si="99"/>
        <v>201811</v>
      </c>
      <c r="F3181" s="22">
        <v>2019</v>
      </c>
    </row>
    <row r="3182" spans="1:6" ht="15.75">
      <c r="A3182" s="22" t="s">
        <v>1441</v>
      </c>
      <c r="B3182" s="26">
        <v>43422</v>
      </c>
      <c r="C3182" s="27">
        <v>0</v>
      </c>
      <c r="D3182" s="25" t="str">
        <f t="shared" si="98"/>
        <v>201846</v>
      </c>
      <c r="E3182" s="22" t="str">
        <f t="shared" ca="1" si="99"/>
        <v>201811</v>
      </c>
      <c r="F3182" s="22">
        <v>2019</v>
      </c>
    </row>
    <row r="3183" spans="1:6" ht="15.75">
      <c r="A3183" s="22" t="s">
        <v>1441</v>
      </c>
      <c r="B3183" s="26">
        <v>43423</v>
      </c>
      <c r="C3183" s="27">
        <v>0</v>
      </c>
      <c r="D3183" s="25" t="str">
        <f t="shared" si="98"/>
        <v>201847</v>
      </c>
      <c r="E3183" s="22" t="str">
        <f t="shared" ca="1" si="99"/>
        <v>201811</v>
      </c>
      <c r="F3183" s="22">
        <v>2019</v>
      </c>
    </row>
    <row r="3184" spans="1:6" ht="15.75">
      <c r="A3184" s="22" t="s">
        <v>1441</v>
      </c>
      <c r="B3184" s="26">
        <v>43424</v>
      </c>
      <c r="C3184" s="27">
        <v>0</v>
      </c>
      <c r="D3184" s="25" t="str">
        <f t="shared" si="98"/>
        <v>201847</v>
      </c>
      <c r="E3184" s="22" t="str">
        <f t="shared" ca="1" si="99"/>
        <v>201811</v>
      </c>
      <c r="F3184" s="22">
        <v>2019</v>
      </c>
    </row>
    <row r="3185" spans="1:6" ht="15.75">
      <c r="A3185" s="22" t="s">
        <v>1441</v>
      </c>
      <c r="B3185" s="26">
        <v>43425</v>
      </c>
      <c r="C3185" s="27">
        <v>0</v>
      </c>
      <c r="D3185" s="25" t="str">
        <f t="shared" si="98"/>
        <v>201847</v>
      </c>
      <c r="E3185" s="22" t="str">
        <f t="shared" ca="1" si="99"/>
        <v>201811</v>
      </c>
      <c r="F3185" s="22">
        <v>2019</v>
      </c>
    </row>
    <row r="3186" spans="1:6" ht="15.75">
      <c r="A3186" s="22" t="s">
        <v>1441</v>
      </c>
      <c r="B3186" s="26">
        <v>43426</v>
      </c>
      <c r="C3186" s="27">
        <v>0</v>
      </c>
      <c r="D3186" s="25" t="str">
        <f t="shared" si="98"/>
        <v>201847</v>
      </c>
      <c r="E3186" s="22" t="str">
        <f t="shared" ca="1" si="99"/>
        <v>201811</v>
      </c>
      <c r="F3186" s="22">
        <v>2019</v>
      </c>
    </row>
    <row r="3187" spans="1:6" ht="15.75">
      <c r="A3187" s="22" t="s">
        <v>1441</v>
      </c>
      <c r="B3187" s="26">
        <v>43427</v>
      </c>
      <c r="C3187" s="27">
        <v>0</v>
      </c>
      <c r="D3187" s="25" t="str">
        <f t="shared" si="98"/>
        <v>201847</v>
      </c>
      <c r="E3187" s="22" t="str">
        <f t="shared" ca="1" si="99"/>
        <v>201811</v>
      </c>
      <c r="F3187" s="22">
        <v>2019</v>
      </c>
    </row>
    <row r="3188" spans="1:6" ht="15.75">
      <c r="A3188" s="22" t="s">
        <v>1441</v>
      </c>
      <c r="B3188" s="26">
        <v>43428</v>
      </c>
      <c r="C3188" s="27">
        <v>0</v>
      </c>
      <c r="D3188" s="25" t="str">
        <f t="shared" si="98"/>
        <v>201847</v>
      </c>
      <c r="E3188" s="22" t="str">
        <f t="shared" ca="1" si="99"/>
        <v>201811</v>
      </c>
      <c r="F3188" s="22">
        <v>2019</v>
      </c>
    </row>
    <row r="3189" spans="1:6" ht="15.75">
      <c r="A3189" s="22" t="s">
        <v>1441</v>
      </c>
      <c r="B3189" s="26">
        <v>43429</v>
      </c>
      <c r="C3189" s="27">
        <v>0</v>
      </c>
      <c r="D3189" s="25" t="str">
        <f t="shared" si="98"/>
        <v>201847</v>
      </c>
      <c r="E3189" s="22" t="str">
        <f t="shared" ca="1" si="99"/>
        <v>201811</v>
      </c>
      <c r="F3189" s="22">
        <v>2019</v>
      </c>
    </row>
    <row r="3190" spans="1:6" ht="15.75">
      <c r="A3190" s="22" t="s">
        <v>1441</v>
      </c>
      <c r="B3190" s="26">
        <v>43430</v>
      </c>
      <c r="C3190" s="27">
        <v>0</v>
      </c>
      <c r="D3190" s="25" t="str">
        <f t="shared" si="98"/>
        <v>201848</v>
      </c>
      <c r="E3190" s="22" t="str">
        <f t="shared" ca="1" si="99"/>
        <v>201811</v>
      </c>
      <c r="F3190" s="22">
        <v>2019</v>
      </c>
    </row>
    <row r="3191" spans="1:6" ht="15.75">
      <c r="A3191" s="22" t="s">
        <v>1441</v>
      </c>
      <c r="B3191" s="26">
        <v>43431</v>
      </c>
      <c r="C3191" s="27">
        <v>0</v>
      </c>
      <c r="D3191" s="25" t="str">
        <f t="shared" si="98"/>
        <v>201848</v>
      </c>
      <c r="E3191" s="22" t="str">
        <f t="shared" ca="1" si="99"/>
        <v>201811</v>
      </c>
      <c r="F3191" s="22">
        <v>2019</v>
      </c>
    </row>
    <row r="3192" spans="1:6" ht="15.75">
      <c r="A3192" s="22" t="s">
        <v>1441</v>
      </c>
      <c r="B3192" s="26">
        <v>43432</v>
      </c>
      <c r="C3192" s="27">
        <v>0</v>
      </c>
      <c r="D3192" s="25" t="str">
        <f t="shared" si="98"/>
        <v>201848</v>
      </c>
      <c r="E3192" s="22" t="str">
        <f t="shared" ca="1" si="99"/>
        <v>201811</v>
      </c>
      <c r="F3192" s="22">
        <v>2019</v>
      </c>
    </row>
    <row r="3193" spans="1:6" ht="15.75">
      <c r="A3193" s="22" t="s">
        <v>1441</v>
      </c>
      <c r="B3193" s="26">
        <v>43433</v>
      </c>
      <c r="C3193" s="27">
        <v>0</v>
      </c>
      <c r="D3193" s="25" t="str">
        <f t="shared" si="98"/>
        <v>201848</v>
      </c>
      <c r="E3193" s="22" t="str">
        <f t="shared" ca="1" si="99"/>
        <v>201811</v>
      </c>
      <c r="F3193" s="22">
        <v>2019</v>
      </c>
    </row>
    <row r="3194" spans="1:6" ht="15.75">
      <c r="A3194" s="22" t="s">
        <v>1441</v>
      </c>
      <c r="B3194" s="26">
        <v>43434</v>
      </c>
      <c r="C3194" s="27">
        <v>0</v>
      </c>
      <c r="D3194" s="25" t="str">
        <f t="shared" si="98"/>
        <v>201848</v>
      </c>
      <c r="E3194" s="22" t="str">
        <f t="shared" ca="1" si="99"/>
        <v>201811</v>
      </c>
      <c r="F3194" s="22">
        <v>2019</v>
      </c>
    </row>
    <row r="3195" spans="1:6" ht="15.75">
      <c r="A3195" s="22" t="s">
        <v>1441</v>
      </c>
      <c r="B3195" s="26">
        <v>43435</v>
      </c>
      <c r="C3195" s="27">
        <v>0</v>
      </c>
      <c r="D3195" s="25" t="str">
        <f t="shared" si="98"/>
        <v>201848</v>
      </c>
      <c r="E3195" s="22" t="str">
        <f t="shared" ca="1" si="99"/>
        <v>201812</v>
      </c>
      <c r="F3195" s="22">
        <v>2019</v>
      </c>
    </row>
    <row r="3196" spans="1:6" ht="15.75">
      <c r="A3196" s="22" t="s">
        <v>1441</v>
      </c>
      <c r="B3196" s="26">
        <v>43436</v>
      </c>
      <c r="C3196" s="27">
        <v>0</v>
      </c>
      <c r="D3196" s="25" t="str">
        <f t="shared" si="98"/>
        <v>201848</v>
      </c>
      <c r="E3196" s="22" t="str">
        <f t="shared" ca="1" si="99"/>
        <v>201812</v>
      </c>
      <c r="F3196" s="22">
        <v>2019</v>
      </c>
    </row>
    <row r="3197" spans="1:6" ht="15.75">
      <c r="A3197" s="22" t="s">
        <v>1441</v>
      </c>
      <c r="B3197" s="26">
        <v>43437</v>
      </c>
      <c r="C3197" s="27">
        <v>0</v>
      </c>
      <c r="D3197" s="25" t="str">
        <f t="shared" si="98"/>
        <v>201849</v>
      </c>
      <c r="E3197" s="22" t="str">
        <f t="shared" ca="1" si="99"/>
        <v>201812</v>
      </c>
      <c r="F3197" s="22">
        <v>2019</v>
      </c>
    </row>
    <row r="3198" spans="1:6" ht="15.75">
      <c r="A3198" s="22" t="s">
        <v>1441</v>
      </c>
      <c r="B3198" s="26">
        <v>43438</v>
      </c>
      <c r="C3198" s="27">
        <v>0</v>
      </c>
      <c r="D3198" s="25" t="str">
        <f t="shared" si="98"/>
        <v>201849</v>
      </c>
      <c r="E3198" s="22" t="str">
        <f t="shared" ca="1" si="99"/>
        <v>201812</v>
      </c>
      <c r="F3198" s="22">
        <v>2019</v>
      </c>
    </row>
    <row r="3199" spans="1:6" ht="15.75">
      <c r="A3199" s="22" t="s">
        <v>1441</v>
      </c>
      <c r="B3199" s="26">
        <v>43439</v>
      </c>
      <c r="C3199" s="27">
        <v>0</v>
      </c>
      <c r="D3199" s="25" t="str">
        <f t="shared" si="98"/>
        <v>201849</v>
      </c>
      <c r="E3199" s="22" t="str">
        <f t="shared" ca="1" si="99"/>
        <v>201812</v>
      </c>
      <c r="F3199" s="22">
        <v>2019</v>
      </c>
    </row>
    <row r="3200" spans="1:6" ht="15.75">
      <c r="A3200" s="22" t="s">
        <v>1441</v>
      </c>
      <c r="B3200" s="26">
        <v>43440</v>
      </c>
      <c r="C3200" s="27">
        <v>0</v>
      </c>
      <c r="D3200" s="25" t="str">
        <f t="shared" si="98"/>
        <v>201849</v>
      </c>
      <c r="E3200" s="22" t="str">
        <f t="shared" ca="1" si="99"/>
        <v>201812</v>
      </c>
      <c r="F3200" s="22">
        <v>2019</v>
      </c>
    </row>
    <row r="3201" spans="1:6" ht="15.75">
      <c r="A3201" s="22" t="s">
        <v>1441</v>
      </c>
      <c r="B3201" s="26">
        <v>43441</v>
      </c>
      <c r="C3201" s="27">
        <v>0</v>
      </c>
      <c r="D3201" s="25" t="str">
        <f t="shared" si="98"/>
        <v>201849</v>
      </c>
      <c r="E3201" s="22" t="str">
        <f t="shared" ca="1" si="99"/>
        <v>201812</v>
      </c>
      <c r="F3201" s="22">
        <v>2019</v>
      </c>
    </row>
    <row r="3202" spans="1:6" ht="15.75">
      <c r="A3202" s="22" t="s">
        <v>1441</v>
      </c>
      <c r="B3202" s="26">
        <v>43442</v>
      </c>
      <c r="C3202" s="27">
        <v>0</v>
      </c>
      <c r="D3202" s="25" t="str">
        <f t="shared" si="98"/>
        <v>201849</v>
      </c>
      <c r="E3202" s="22" t="str">
        <f t="shared" ca="1" si="99"/>
        <v>201812</v>
      </c>
      <c r="F3202" s="22">
        <v>2019</v>
      </c>
    </row>
    <row r="3203" spans="1:6" ht="15.75">
      <c r="A3203" s="22" t="s">
        <v>1441</v>
      </c>
      <c r="B3203" s="26">
        <v>43443</v>
      </c>
      <c r="C3203" s="27">
        <v>0</v>
      </c>
      <c r="D3203" s="25" t="str">
        <f t="shared" ref="D3203:D3266" si="100">CONCATENATE(YEAR(B3203-WEEKDAY(B3203,3)+3),TEXT(WEEKNUM(B3203,21),"00"))</f>
        <v>201849</v>
      </c>
      <c r="E3203" s="22" t="str">
        <f t="shared" ref="E3203:E3266" ca="1" si="101">IF(
  AND(
    YEAR(B3203)=YEAR(TODAY())-1,
    MONTH(B3203)=MONTH(TODAY()),
    DAY(B3203)&gt;DAY($H$2)
  ),
  0,
  CONCATENATE(YEAR(B3203),TEXT(MONTH(B3203),"00"))
)</f>
        <v>201812</v>
      </c>
      <c r="F3203" s="22">
        <v>2019</v>
      </c>
    </row>
    <row r="3204" spans="1:6" ht="15.75">
      <c r="A3204" s="22" t="s">
        <v>1441</v>
      </c>
      <c r="B3204" s="26">
        <v>43444</v>
      </c>
      <c r="C3204" s="27">
        <v>0</v>
      </c>
      <c r="D3204" s="25" t="str">
        <f t="shared" si="100"/>
        <v>201850</v>
      </c>
      <c r="E3204" s="22" t="str">
        <f t="shared" ca="1" si="101"/>
        <v>201812</v>
      </c>
      <c r="F3204" s="22">
        <v>2019</v>
      </c>
    </row>
    <row r="3205" spans="1:6" ht="15.75">
      <c r="A3205" s="22" t="s">
        <v>1441</v>
      </c>
      <c r="B3205" s="26">
        <v>43445</v>
      </c>
      <c r="C3205" s="27">
        <v>0</v>
      </c>
      <c r="D3205" s="25" t="str">
        <f t="shared" si="100"/>
        <v>201850</v>
      </c>
      <c r="E3205" s="22" t="str">
        <f t="shared" ca="1" si="101"/>
        <v>201812</v>
      </c>
      <c r="F3205" s="22">
        <v>2019</v>
      </c>
    </row>
    <row r="3206" spans="1:6" ht="15.75">
      <c r="A3206" s="22" t="s">
        <v>1441</v>
      </c>
      <c r="B3206" s="26">
        <v>43446</v>
      </c>
      <c r="C3206" s="27">
        <v>0</v>
      </c>
      <c r="D3206" s="25" t="str">
        <f t="shared" si="100"/>
        <v>201850</v>
      </c>
      <c r="E3206" s="22" t="str">
        <f t="shared" ca="1" si="101"/>
        <v>201812</v>
      </c>
      <c r="F3206" s="22">
        <v>2019</v>
      </c>
    </row>
    <row r="3207" spans="1:6" ht="15.75">
      <c r="A3207" s="22" t="s">
        <v>1441</v>
      </c>
      <c r="B3207" s="26">
        <v>43447</v>
      </c>
      <c r="C3207" s="27">
        <v>0</v>
      </c>
      <c r="D3207" s="25" t="str">
        <f t="shared" si="100"/>
        <v>201850</v>
      </c>
      <c r="E3207" s="22" t="str">
        <f t="shared" ca="1" si="101"/>
        <v>201812</v>
      </c>
      <c r="F3207" s="22">
        <v>2019</v>
      </c>
    </row>
    <row r="3208" spans="1:6" ht="15.75">
      <c r="A3208" s="22" t="s">
        <v>1441</v>
      </c>
      <c r="B3208" s="26">
        <v>43448</v>
      </c>
      <c r="C3208" s="27">
        <v>0</v>
      </c>
      <c r="D3208" s="25" t="str">
        <f t="shared" si="100"/>
        <v>201850</v>
      </c>
      <c r="E3208" s="22" t="str">
        <f t="shared" ca="1" si="101"/>
        <v>201812</v>
      </c>
      <c r="F3208" s="22">
        <v>2019</v>
      </c>
    </row>
    <row r="3209" spans="1:6" ht="15.75">
      <c r="A3209" s="22" t="s">
        <v>1441</v>
      </c>
      <c r="B3209" s="26">
        <v>43449</v>
      </c>
      <c r="C3209" s="27">
        <v>0</v>
      </c>
      <c r="D3209" s="25" t="str">
        <f t="shared" si="100"/>
        <v>201850</v>
      </c>
      <c r="E3209" s="22" t="str">
        <f t="shared" ca="1" si="101"/>
        <v>201812</v>
      </c>
      <c r="F3209" s="22">
        <v>2019</v>
      </c>
    </row>
    <row r="3210" spans="1:6" ht="15.75">
      <c r="A3210" s="22" t="s">
        <v>1441</v>
      </c>
      <c r="B3210" s="26">
        <v>43450</v>
      </c>
      <c r="C3210" s="27">
        <v>0</v>
      </c>
      <c r="D3210" s="25" t="str">
        <f t="shared" si="100"/>
        <v>201850</v>
      </c>
      <c r="E3210" s="22" t="str">
        <f t="shared" ca="1" si="101"/>
        <v>201812</v>
      </c>
      <c r="F3210" s="22">
        <v>2019</v>
      </c>
    </row>
    <row r="3211" spans="1:6" ht="15.75">
      <c r="A3211" s="22" t="s">
        <v>1441</v>
      </c>
      <c r="B3211" s="26">
        <v>43451</v>
      </c>
      <c r="C3211" s="27">
        <v>0</v>
      </c>
      <c r="D3211" s="25" t="str">
        <f t="shared" si="100"/>
        <v>201851</v>
      </c>
      <c r="E3211" s="22" t="str">
        <f t="shared" ca="1" si="101"/>
        <v>201812</v>
      </c>
      <c r="F3211" s="22">
        <v>2019</v>
      </c>
    </row>
    <row r="3212" spans="1:6" ht="15.75">
      <c r="A3212" s="22" t="s">
        <v>1441</v>
      </c>
      <c r="B3212" s="26">
        <v>43452</v>
      </c>
      <c r="C3212" s="27">
        <v>0</v>
      </c>
      <c r="D3212" s="25" t="str">
        <f t="shared" si="100"/>
        <v>201851</v>
      </c>
      <c r="E3212" s="22" t="str">
        <f t="shared" ca="1" si="101"/>
        <v>201812</v>
      </c>
      <c r="F3212" s="22">
        <v>2019</v>
      </c>
    </row>
    <row r="3213" spans="1:6" ht="15.75">
      <c r="A3213" s="22" t="s">
        <v>1441</v>
      </c>
      <c r="B3213" s="26">
        <v>43453</v>
      </c>
      <c r="C3213" s="27">
        <v>18.04</v>
      </c>
      <c r="D3213" s="25" t="str">
        <f t="shared" si="100"/>
        <v>201851</v>
      </c>
      <c r="E3213" s="22" t="str">
        <f t="shared" ca="1" si="101"/>
        <v>201812</v>
      </c>
      <c r="F3213" s="22">
        <v>2019</v>
      </c>
    </row>
    <row r="3214" spans="1:6" ht="15.75">
      <c r="A3214" s="22" t="s">
        <v>1441</v>
      </c>
      <c r="B3214" s="26">
        <v>43454</v>
      </c>
      <c r="C3214" s="27">
        <v>31.06</v>
      </c>
      <c r="D3214" s="25" t="str">
        <f t="shared" si="100"/>
        <v>201851</v>
      </c>
      <c r="E3214" s="22" t="str">
        <f t="shared" ca="1" si="101"/>
        <v>201812</v>
      </c>
      <c r="F3214" s="22">
        <v>2019</v>
      </c>
    </row>
    <row r="3215" spans="1:6" ht="15.75">
      <c r="A3215" s="22" t="s">
        <v>1441</v>
      </c>
      <c r="B3215" s="26">
        <v>43455</v>
      </c>
      <c r="C3215" s="27">
        <v>47.13</v>
      </c>
      <c r="D3215" s="25" t="str">
        <f t="shared" si="100"/>
        <v>201851</v>
      </c>
      <c r="E3215" s="22" t="str">
        <f t="shared" ca="1" si="101"/>
        <v>201812</v>
      </c>
      <c r="F3215" s="22">
        <v>2019</v>
      </c>
    </row>
    <row r="3216" spans="1:6" ht="15.75">
      <c r="A3216" s="22" t="s">
        <v>1441</v>
      </c>
      <c r="B3216" s="26">
        <v>43456</v>
      </c>
      <c r="C3216" s="27">
        <v>48.44</v>
      </c>
      <c r="D3216" s="25" t="str">
        <f t="shared" si="100"/>
        <v>201851</v>
      </c>
      <c r="E3216" s="22" t="str">
        <f t="shared" ca="1" si="101"/>
        <v>201812</v>
      </c>
      <c r="F3216" s="22">
        <v>2019</v>
      </c>
    </row>
    <row r="3217" spans="1:6" ht="15.75">
      <c r="A3217" s="22" t="s">
        <v>1441</v>
      </c>
      <c r="B3217" s="26">
        <v>43457</v>
      </c>
      <c r="C3217" s="27">
        <v>30.82</v>
      </c>
      <c r="D3217" s="25" t="str">
        <f t="shared" si="100"/>
        <v>201851</v>
      </c>
      <c r="E3217" s="22" t="str">
        <f t="shared" ca="1" si="101"/>
        <v>201812</v>
      </c>
      <c r="F3217" s="22">
        <v>2019</v>
      </c>
    </row>
    <row r="3218" spans="1:6" ht="15.75">
      <c r="A3218" s="22" t="s">
        <v>1441</v>
      </c>
      <c r="B3218" s="26">
        <v>43458</v>
      </c>
      <c r="C3218" s="27">
        <v>23.27</v>
      </c>
      <c r="D3218" s="25" t="str">
        <f t="shared" si="100"/>
        <v>201852</v>
      </c>
      <c r="E3218" s="22" t="str">
        <f t="shared" ca="1" si="101"/>
        <v>201812</v>
      </c>
      <c r="F3218" s="22">
        <v>2019</v>
      </c>
    </row>
    <row r="3219" spans="1:6" ht="15.75">
      <c r="A3219" s="22" t="s">
        <v>1441</v>
      </c>
      <c r="B3219" s="26">
        <v>43459</v>
      </c>
      <c r="C3219" s="27">
        <v>0</v>
      </c>
      <c r="D3219" s="25" t="str">
        <f t="shared" si="100"/>
        <v>201852</v>
      </c>
      <c r="E3219" s="22" t="str">
        <f t="shared" ca="1" si="101"/>
        <v>201812</v>
      </c>
      <c r="F3219" s="22">
        <v>2019</v>
      </c>
    </row>
    <row r="3220" spans="1:6" ht="15.75">
      <c r="A3220" s="22" t="s">
        <v>1441</v>
      </c>
      <c r="B3220" s="26">
        <v>43460</v>
      </c>
      <c r="C3220" s="27">
        <v>0</v>
      </c>
      <c r="D3220" s="25" t="str">
        <f t="shared" si="100"/>
        <v>201852</v>
      </c>
      <c r="E3220" s="22" t="str">
        <f t="shared" ca="1" si="101"/>
        <v>201812</v>
      </c>
      <c r="F3220" s="22">
        <v>2019</v>
      </c>
    </row>
    <row r="3221" spans="1:6" ht="15.75">
      <c r="A3221" s="22" t="s">
        <v>1441</v>
      </c>
      <c r="B3221" s="26">
        <v>43461</v>
      </c>
      <c r="C3221" s="27">
        <v>0</v>
      </c>
      <c r="D3221" s="25" t="str">
        <f t="shared" si="100"/>
        <v>201852</v>
      </c>
      <c r="E3221" s="22" t="str">
        <f t="shared" ca="1" si="101"/>
        <v>201812</v>
      </c>
      <c r="F3221" s="22">
        <v>2019</v>
      </c>
    </row>
    <row r="3222" spans="1:6" ht="15.75">
      <c r="A3222" s="22" t="s">
        <v>1441</v>
      </c>
      <c r="B3222" s="26">
        <v>43462</v>
      </c>
      <c r="C3222" s="27">
        <v>0</v>
      </c>
      <c r="D3222" s="25" t="str">
        <f t="shared" si="100"/>
        <v>201852</v>
      </c>
      <c r="E3222" s="22" t="str">
        <f t="shared" ca="1" si="101"/>
        <v>201812</v>
      </c>
      <c r="F3222" s="22">
        <v>2019</v>
      </c>
    </row>
    <row r="3223" spans="1:6" ht="15.75">
      <c r="A3223" s="22" t="s">
        <v>1441</v>
      </c>
      <c r="B3223" s="26">
        <v>43463</v>
      </c>
      <c r="C3223" s="27">
        <v>0</v>
      </c>
      <c r="D3223" s="25" t="str">
        <f t="shared" si="100"/>
        <v>201852</v>
      </c>
      <c r="E3223" s="22" t="str">
        <f t="shared" ca="1" si="101"/>
        <v>201812</v>
      </c>
      <c r="F3223" s="22">
        <v>2019</v>
      </c>
    </row>
    <row r="3224" spans="1:6" ht="15.75">
      <c r="A3224" s="22" t="s">
        <v>1441</v>
      </c>
      <c r="B3224" s="26">
        <v>43464</v>
      </c>
      <c r="C3224" s="27">
        <v>0</v>
      </c>
      <c r="D3224" s="25" t="str">
        <f t="shared" si="100"/>
        <v>201852</v>
      </c>
      <c r="E3224" s="22" t="str">
        <f t="shared" ca="1" si="101"/>
        <v>201812</v>
      </c>
      <c r="F3224" s="22">
        <v>2019</v>
      </c>
    </row>
    <row r="3225" spans="1:6" ht="15.75">
      <c r="A3225" s="22" t="s">
        <v>1441</v>
      </c>
      <c r="B3225" s="26">
        <v>43465</v>
      </c>
      <c r="C3225" s="27">
        <v>0</v>
      </c>
      <c r="D3225" s="25" t="str">
        <f t="shared" si="100"/>
        <v>201901</v>
      </c>
      <c r="E3225" s="22" t="str">
        <f t="shared" ca="1" si="101"/>
        <v>201812</v>
      </c>
      <c r="F3225" s="22">
        <v>2019</v>
      </c>
    </row>
    <row r="3226" spans="1:6" ht="15.75">
      <c r="A3226" s="22" t="s">
        <v>1441</v>
      </c>
      <c r="B3226" s="26">
        <v>43466</v>
      </c>
      <c r="C3226" s="27">
        <v>0</v>
      </c>
      <c r="D3226" s="25" t="str">
        <f t="shared" si="100"/>
        <v>201901</v>
      </c>
      <c r="E3226" s="22" t="str">
        <f t="shared" ca="1" si="101"/>
        <v>201901</v>
      </c>
      <c r="F3226" s="22">
        <v>2019</v>
      </c>
    </row>
    <row r="3227" spans="1:6" ht="15.75">
      <c r="A3227" s="22" t="s">
        <v>1441</v>
      </c>
      <c r="B3227" s="26">
        <v>43467</v>
      </c>
      <c r="C3227" s="27">
        <v>0</v>
      </c>
      <c r="D3227" s="25" t="str">
        <f t="shared" si="100"/>
        <v>201901</v>
      </c>
      <c r="E3227" s="22" t="str">
        <f t="shared" ca="1" si="101"/>
        <v>201901</v>
      </c>
      <c r="F3227" s="22">
        <v>2019</v>
      </c>
    </row>
    <row r="3228" spans="1:6" ht="15.75">
      <c r="A3228" s="22" t="s">
        <v>1441</v>
      </c>
      <c r="B3228" s="26">
        <v>43468</v>
      </c>
      <c r="C3228" s="27">
        <v>0</v>
      </c>
      <c r="D3228" s="25" t="str">
        <f t="shared" si="100"/>
        <v>201901</v>
      </c>
      <c r="E3228" s="22" t="str">
        <f t="shared" ca="1" si="101"/>
        <v>201901</v>
      </c>
      <c r="F3228" s="22">
        <v>2019</v>
      </c>
    </row>
    <row r="3229" spans="1:6" ht="15.75">
      <c r="A3229" s="22" t="s">
        <v>1441</v>
      </c>
      <c r="B3229" s="26">
        <v>43469</v>
      </c>
      <c r="C3229" s="27">
        <v>0</v>
      </c>
      <c r="D3229" s="25" t="str">
        <f t="shared" si="100"/>
        <v>201901</v>
      </c>
      <c r="E3229" s="22" t="str">
        <f t="shared" ca="1" si="101"/>
        <v>201901</v>
      </c>
      <c r="F3229" s="22">
        <v>2019</v>
      </c>
    </row>
    <row r="3230" spans="1:6" ht="15.75">
      <c r="A3230" s="22" t="s">
        <v>1441</v>
      </c>
      <c r="B3230" s="26">
        <v>43470</v>
      </c>
      <c r="C3230" s="27">
        <v>0</v>
      </c>
      <c r="D3230" s="25" t="str">
        <f t="shared" si="100"/>
        <v>201901</v>
      </c>
      <c r="E3230" s="22" t="str">
        <f t="shared" ca="1" si="101"/>
        <v>201901</v>
      </c>
      <c r="F3230" s="22">
        <v>2019</v>
      </c>
    </row>
    <row r="3231" spans="1:6" ht="15.75">
      <c r="A3231" s="22" t="s">
        <v>1441</v>
      </c>
      <c r="B3231" s="26">
        <v>43471</v>
      </c>
      <c r="C3231" s="27">
        <v>0</v>
      </c>
      <c r="D3231" s="25" t="str">
        <f t="shared" si="100"/>
        <v>201901</v>
      </c>
      <c r="E3231" s="22" t="str">
        <f t="shared" ca="1" si="101"/>
        <v>201901</v>
      </c>
      <c r="F3231" s="22">
        <v>2019</v>
      </c>
    </row>
    <row r="3232" spans="1:6" ht="15.75">
      <c r="A3232" s="22" t="s">
        <v>1442</v>
      </c>
      <c r="B3232" s="23">
        <v>43472</v>
      </c>
      <c r="C3232" s="24">
        <v>298.45</v>
      </c>
      <c r="D3232" s="25" t="str">
        <f t="shared" si="100"/>
        <v>201902</v>
      </c>
      <c r="E3232" s="22" t="str">
        <f t="shared" ca="1" si="101"/>
        <v>201901</v>
      </c>
      <c r="F3232" s="22">
        <v>2019</v>
      </c>
    </row>
    <row r="3233" spans="1:6" ht="15.75">
      <c r="A3233" s="22" t="s">
        <v>1442</v>
      </c>
      <c r="B3233" s="23">
        <v>43472</v>
      </c>
      <c r="C3233" s="24">
        <v>0</v>
      </c>
      <c r="D3233" s="25" t="str">
        <f t="shared" si="100"/>
        <v>201902</v>
      </c>
      <c r="E3233" s="22" t="str">
        <f t="shared" ca="1" si="101"/>
        <v>201901</v>
      </c>
      <c r="F3233" s="22">
        <v>2019</v>
      </c>
    </row>
    <row r="3234" spans="1:6" ht="15.75">
      <c r="A3234" s="22" t="s">
        <v>1441</v>
      </c>
      <c r="B3234" s="26">
        <v>43472</v>
      </c>
      <c r="C3234" s="27">
        <v>0</v>
      </c>
      <c r="D3234" s="25" t="str">
        <f t="shared" si="100"/>
        <v>201902</v>
      </c>
      <c r="E3234" s="22" t="str">
        <f t="shared" ca="1" si="101"/>
        <v>201901</v>
      </c>
      <c r="F3234" s="22">
        <v>2019</v>
      </c>
    </row>
    <row r="3235" spans="1:6" ht="15.75">
      <c r="A3235" s="22" t="s">
        <v>1442</v>
      </c>
      <c r="B3235" s="23">
        <v>43473</v>
      </c>
      <c r="C3235" s="24">
        <v>292.19</v>
      </c>
      <c r="D3235" s="25" t="str">
        <f t="shared" si="100"/>
        <v>201902</v>
      </c>
      <c r="E3235" s="22" t="str">
        <f t="shared" ca="1" si="101"/>
        <v>201901</v>
      </c>
      <c r="F3235" s="22">
        <v>2019</v>
      </c>
    </row>
    <row r="3236" spans="1:6" ht="15.75">
      <c r="A3236" s="22" t="s">
        <v>1442</v>
      </c>
      <c r="B3236" s="23">
        <v>43473</v>
      </c>
      <c r="C3236" s="24">
        <v>0</v>
      </c>
      <c r="D3236" s="25" t="str">
        <f t="shared" si="100"/>
        <v>201902</v>
      </c>
      <c r="E3236" s="22" t="str">
        <f t="shared" ca="1" si="101"/>
        <v>201901</v>
      </c>
      <c r="F3236" s="22">
        <v>2019</v>
      </c>
    </row>
    <row r="3237" spans="1:6" ht="15.75">
      <c r="A3237" s="22" t="s">
        <v>1441</v>
      </c>
      <c r="B3237" s="26">
        <v>43473</v>
      </c>
      <c r="C3237" s="27">
        <v>0</v>
      </c>
      <c r="D3237" s="25" t="str">
        <f t="shared" si="100"/>
        <v>201902</v>
      </c>
      <c r="E3237" s="22" t="str">
        <f t="shared" ca="1" si="101"/>
        <v>201901</v>
      </c>
      <c r="F3237" s="22">
        <v>2019</v>
      </c>
    </row>
    <row r="3238" spans="1:6" ht="15.75">
      <c r="A3238" s="22" t="s">
        <v>1442</v>
      </c>
      <c r="B3238" s="23">
        <v>43474</v>
      </c>
      <c r="C3238" s="24">
        <v>295.44</v>
      </c>
      <c r="D3238" s="25" t="str">
        <f t="shared" si="100"/>
        <v>201902</v>
      </c>
      <c r="E3238" s="22" t="str">
        <f t="shared" ca="1" si="101"/>
        <v>201901</v>
      </c>
      <c r="F3238" s="22">
        <v>2019</v>
      </c>
    </row>
    <row r="3239" spans="1:6" ht="15.75">
      <c r="A3239" s="22" t="s">
        <v>1441</v>
      </c>
      <c r="B3239" s="26">
        <v>43474</v>
      </c>
      <c r="C3239" s="27">
        <v>0</v>
      </c>
      <c r="D3239" s="25" t="str">
        <f t="shared" si="100"/>
        <v>201902</v>
      </c>
      <c r="E3239" s="22" t="str">
        <f t="shared" ca="1" si="101"/>
        <v>201901</v>
      </c>
      <c r="F3239" s="22">
        <v>2019</v>
      </c>
    </row>
    <row r="3240" spans="1:6" ht="15.75">
      <c r="A3240" s="22" t="s">
        <v>1442</v>
      </c>
      <c r="B3240" s="23">
        <v>43475</v>
      </c>
      <c r="C3240" s="24">
        <v>251.74</v>
      </c>
      <c r="D3240" s="25" t="str">
        <f t="shared" si="100"/>
        <v>201902</v>
      </c>
      <c r="E3240" s="22" t="str">
        <f t="shared" ca="1" si="101"/>
        <v>201901</v>
      </c>
      <c r="F3240" s="22">
        <v>2019</v>
      </c>
    </row>
    <row r="3241" spans="1:6" ht="15.75">
      <c r="A3241" s="22" t="s">
        <v>1441</v>
      </c>
      <c r="B3241" s="26">
        <v>43475</v>
      </c>
      <c r="C3241" s="27">
        <v>0</v>
      </c>
      <c r="D3241" s="25" t="str">
        <f t="shared" si="100"/>
        <v>201902</v>
      </c>
      <c r="E3241" s="22" t="str">
        <f t="shared" ca="1" si="101"/>
        <v>201901</v>
      </c>
      <c r="F3241" s="22">
        <v>2019</v>
      </c>
    </row>
    <row r="3242" spans="1:6" ht="15.75">
      <c r="A3242" s="22" t="s">
        <v>1442</v>
      </c>
      <c r="B3242" s="23">
        <v>43476</v>
      </c>
      <c r="C3242" s="24">
        <v>214.85</v>
      </c>
      <c r="D3242" s="25" t="str">
        <f t="shared" si="100"/>
        <v>201902</v>
      </c>
      <c r="E3242" s="22" t="str">
        <f t="shared" ca="1" si="101"/>
        <v>201901</v>
      </c>
      <c r="F3242" s="22">
        <v>2019</v>
      </c>
    </row>
    <row r="3243" spans="1:6" ht="15.75">
      <c r="A3243" s="22" t="s">
        <v>1441</v>
      </c>
      <c r="B3243" s="26">
        <v>43476</v>
      </c>
      <c r="C3243" s="27">
        <v>0</v>
      </c>
      <c r="D3243" s="25" t="str">
        <f t="shared" si="100"/>
        <v>201902</v>
      </c>
      <c r="E3243" s="22" t="str">
        <f t="shared" ca="1" si="101"/>
        <v>201901</v>
      </c>
      <c r="F3243" s="22">
        <v>2019</v>
      </c>
    </row>
    <row r="3244" spans="1:6" ht="15.75">
      <c r="A3244" s="22" t="s">
        <v>1442</v>
      </c>
      <c r="B3244" s="23">
        <v>43477</v>
      </c>
      <c r="C3244" s="24">
        <v>227.52</v>
      </c>
      <c r="D3244" s="25" t="str">
        <f t="shared" si="100"/>
        <v>201902</v>
      </c>
      <c r="E3244" s="22" t="str">
        <f t="shared" ca="1" si="101"/>
        <v>201901</v>
      </c>
      <c r="F3244" s="22">
        <v>2019</v>
      </c>
    </row>
    <row r="3245" spans="1:6" ht="15.75">
      <c r="A3245" s="22" t="s">
        <v>1441</v>
      </c>
      <c r="B3245" s="26">
        <v>43477</v>
      </c>
      <c r="C3245" s="27">
        <v>0</v>
      </c>
      <c r="D3245" s="25" t="str">
        <f t="shared" si="100"/>
        <v>201902</v>
      </c>
      <c r="E3245" s="22" t="str">
        <f t="shared" ca="1" si="101"/>
        <v>201901</v>
      </c>
      <c r="F3245" s="22">
        <v>2019</v>
      </c>
    </row>
    <row r="3246" spans="1:6" ht="15.75">
      <c r="A3246" s="22" t="s">
        <v>1442</v>
      </c>
      <c r="B3246" s="23">
        <v>43478</v>
      </c>
      <c r="C3246" s="24">
        <v>413.64</v>
      </c>
      <c r="D3246" s="25" t="str">
        <f t="shared" si="100"/>
        <v>201902</v>
      </c>
      <c r="E3246" s="22" t="str">
        <f t="shared" ca="1" si="101"/>
        <v>201901</v>
      </c>
      <c r="F3246" s="22">
        <v>2019</v>
      </c>
    </row>
    <row r="3247" spans="1:6" ht="15.75">
      <c r="A3247" s="22" t="s">
        <v>1441</v>
      </c>
      <c r="B3247" s="26">
        <v>43478</v>
      </c>
      <c r="C3247" s="27">
        <v>0</v>
      </c>
      <c r="D3247" s="25" t="str">
        <f t="shared" si="100"/>
        <v>201902</v>
      </c>
      <c r="E3247" s="22" t="str">
        <f t="shared" ca="1" si="101"/>
        <v>201901</v>
      </c>
      <c r="F3247" s="22">
        <v>2019</v>
      </c>
    </row>
    <row r="3248" spans="1:6" ht="15.75">
      <c r="A3248" s="22" t="s">
        <v>1442</v>
      </c>
      <c r="B3248" s="23">
        <v>43479</v>
      </c>
      <c r="C3248" s="24">
        <v>291.83</v>
      </c>
      <c r="D3248" s="25" t="str">
        <f t="shared" si="100"/>
        <v>201903</v>
      </c>
      <c r="E3248" s="22" t="str">
        <f t="shared" ca="1" si="101"/>
        <v>201901</v>
      </c>
      <c r="F3248" s="22">
        <v>2019</v>
      </c>
    </row>
    <row r="3249" spans="1:6" ht="15.75">
      <c r="A3249" s="22" t="s">
        <v>1441</v>
      </c>
      <c r="B3249" s="26">
        <v>43479</v>
      </c>
      <c r="C3249" s="27">
        <v>0</v>
      </c>
      <c r="D3249" s="25" t="str">
        <f t="shared" si="100"/>
        <v>201903</v>
      </c>
      <c r="E3249" s="22" t="str">
        <f t="shared" ca="1" si="101"/>
        <v>201901</v>
      </c>
      <c r="F3249" s="22">
        <v>2019</v>
      </c>
    </row>
    <row r="3250" spans="1:6" ht="15.75">
      <c r="A3250" s="22" t="s">
        <v>1442</v>
      </c>
      <c r="B3250" s="23">
        <v>43480</v>
      </c>
      <c r="C3250" s="24">
        <v>255.97</v>
      </c>
      <c r="D3250" s="25" t="str">
        <f t="shared" si="100"/>
        <v>201903</v>
      </c>
      <c r="E3250" s="22" t="str">
        <f t="shared" ca="1" si="101"/>
        <v>201901</v>
      </c>
      <c r="F3250" s="22">
        <v>2019</v>
      </c>
    </row>
    <row r="3251" spans="1:6" ht="15.75">
      <c r="A3251" s="22" t="s">
        <v>1441</v>
      </c>
      <c r="B3251" s="26">
        <v>43480</v>
      </c>
      <c r="C3251" s="27">
        <v>0</v>
      </c>
      <c r="D3251" s="25" t="str">
        <f t="shared" si="100"/>
        <v>201903</v>
      </c>
      <c r="E3251" s="22" t="str">
        <f t="shared" ca="1" si="101"/>
        <v>201901</v>
      </c>
      <c r="F3251" s="22">
        <v>2019</v>
      </c>
    </row>
    <row r="3252" spans="1:6" ht="15.75">
      <c r="A3252" s="22" t="s">
        <v>1442</v>
      </c>
      <c r="B3252" s="23">
        <v>43481</v>
      </c>
      <c r="C3252" s="24">
        <v>209.52</v>
      </c>
      <c r="D3252" s="25" t="str">
        <f t="shared" si="100"/>
        <v>201903</v>
      </c>
      <c r="E3252" s="22" t="str">
        <f t="shared" ca="1" si="101"/>
        <v>201901</v>
      </c>
      <c r="F3252" s="22">
        <v>2019</v>
      </c>
    </row>
    <row r="3253" spans="1:6" ht="15.75">
      <c r="A3253" s="22" t="s">
        <v>1441</v>
      </c>
      <c r="B3253" s="26">
        <v>43481</v>
      </c>
      <c r="C3253" s="27">
        <v>0</v>
      </c>
      <c r="D3253" s="25" t="str">
        <f t="shared" si="100"/>
        <v>201903</v>
      </c>
      <c r="E3253" s="22" t="str">
        <f t="shared" ca="1" si="101"/>
        <v>201901</v>
      </c>
      <c r="F3253" s="22">
        <v>2019</v>
      </c>
    </row>
    <row r="3254" spans="1:6" ht="15.75">
      <c r="A3254" s="22" t="s">
        <v>1442</v>
      </c>
      <c r="B3254" s="23">
        <v>43482</v>
      </c>
      <c r="C3254" s="24">
        <v>199.05</v>
      </c>
      <c r="D3254" s="25" t="str">
        <f t="shared" si="100"/>
        <v>201903</v>
      </c>
      <c r="E3254" s="22" t="str">
        <f t="shared" ca="1" si="101"/>
        <v>201901</v>
      </c>
      <c r="F3254" s="22">
        <v>2019</v>
      </c>
    </row>
    <row r="3255" spans="1:6" ht="15.75">
      <c r="A3255" s="22" t="s">
        <v>1441</v>
      </c>
      <c r="B3255" s="26">
        <v>43482</v>
      </c>
      <c r="C3255" s="27">
        <v>0</v>
      </c>
      <c r="D3255" s="25" t="str">
        <f t="shared" si="100"/>
        <v>201903</v>
      </c>
      <c r="E3255" s="22" t="str">
        <f t="shared" ca="1" si="101"/>
        <v>201901</v>
      </c>
      <c r="F3255" s="22">
        <v>2019</v>
      </c>
    </row>
    <row r="3256" spans="1:6" ht="15.75">
      <c r="A3256" s="22" t="s">
        <v>1442</v>
      </c>
      <c r="B3256" s="23">
        <v>43483</v>
      </c>
      <c r="C3256" s="24">
        <v>166.14</v>
      </c>
      <c r="D3256" s="25" t="str">
        <f t="shared" si="100"/>
        <v>201903</v>
      </c>
      <c r="E3256" s="22" t="str">
        <f t="shared" ca="1" si="101"/>
        <v>201901</v>
      </c>
      <c r="F3256" s="22">
        <v>2019</v>
      </c>
    </row>
    <row r="3257" spans="1:6" ht="15.75">
      <c r="A3257" s="22" t="s">
        <v>1441</v>
      </c>
      <c r="B3257" s="26">
        <v>43483</v>
      </c>
      <c r="C3257" s="27">
        <v>0</v>
      </c>
      <c r="D3257" s="25" t="str">
        <f t="shared" si="100"/>
        <v>201903</v>
      </c>
      <c r="E3257" s="22" t="str">
        <f t="shared" ca="1" si="101"/>
        <v>201901</v>
      </c>
      <c r="F3257" s="22">
        <v>2019</v>
      </c>
    </row>
    <row r="3258" spans="1:6" ht="15.75">
      <c r="A3258" s="22" t="s">
        <v>1442</v>
      </c>
      <c r="B3258" s="23">
        <v>43484</v>
      </c>
      <c r="C3258" s="24">
        <v>229.53</v>
      </c>
      <c r="D3258" s="25" t="str">
        <f t="shared" si="100"/>
        <v>201903</v>
      </c>
      <c r="E3258" s="22" t="str">
        <f t="shared" ca="1" si="101"/>
        <v>201901</v>
      </c>
      <c r="F3258" s="22">
        <v>2019</v>
      </c>
    </row>
    <row r="3259" spans="1:6" ht="15.75">
      <c r="A3259" s="22" t="s">
        <v>1441</v>
      </c>
      <c r="B3259" s="26">
        <v>43484</v>
      </c>
      <c r="C3259" s="27">
        <v>0</v>
      </c>
      <c r="D3259" s="25" t="str">
        <f t="shared" si="100"/>
        <v>201903</v>
      </c>
      <c r="E3259" s="22" t="str">
        <f t="shared" ca="1" si="101"/>
        <v>201901</v>
      </c>
      <c r="F3259" s="22">
        <v>2019</v>
      </c>
    </row>
    <row r="3260" spans="1:6" ht="15.75">
      <c r="A3260" s="22" t="s">
        <v>1442</v>
      </c>
      <c r="B3260" s="23">
        <v>43485</v>
      </c>
      <c r="C3260" s="24">
        <v>449.23</v>
      </c>
      <c r="D3260" s="25" t="str">
        <f t="shared" si="100"/>
        <v>201903</v>
      </c>
      <c r="E3260" s="22" t="str">
        <f t="shared" ca="1" si="101"/>
        <v>201901</v>
      </c>
      <c r="F3260" s="22">
        <v>2019</v>
      </c>
    </row>
    <row r="3261" spans="1:6" ht="15.75">
      <c r="A3261" s="22" t="s">
        <v>1441</v>
      </c>
      <c r="B3261" s="26">
        <v>43485</v>
      </c>
      <c r="C3261" s="27">
        <v>0</v>
      </c>
      <c r="D3261" s="25" t="str">
        <f t="shared" si="100"/>
        <v>201903</v>
      </c>
      <c r="E3261" s="22" t="str">
        <f t="shared" ca="1" si="101"/>
        <v>201901</v>
      </c>
      <c r="F3261" s="22">
        <v>2019</v>
      </c>
    </row>
    <row r="3262" spans="1:6" ht="15.75">
      <c r="A3262" s="22" t="s">
        <v>1442</v>
      </c>
      <c r="B3262" s="23">
        <v>43486</v>
      </c>
      <c r="C3262" s="24">
        <v>275.33999999999997</v>
      </c>
      <c r="D3262" s="25" t="str">
        <f t="shared" si="100"/>
        <v>201904</v>
      </c>
      <c r="E3262" s="22" t="str">
        <f t="shared" ca="1" si="101"/>
        <v>201901</v>
      </c>
      <c r="F3262" s="22">
        <v>2019</v>
      </c>
    </row>
    <row r="3263" spans="1:6" ht="15.75">
      <c r="A3263" s="22" t="s">
        <v>1441</v>
      </c>
      <c r="B3263" s="26">
        <v>43486</v>
      </c>
      <c r="C3263" s="27">
        <v>0</v>
      </c>
      <c r="D3263" s="25" t="str">
        <f t="shared" si="100"/>
        <v>201904</v>
      </c>
      <c r="E3263" s="22" t="str">
        <f t="shared" ca="1" si="101"/>
        <v>201901</v>
      </c>
      <c r="F3263" s="22">
        <v>2019</v>
      </c>
    </row>
    <row r="3264" spans="1:6" ht="15.75">
      <c r="A3264" s="22" t="s">
        <v>1442</v>
      </c>
      <c r="B3264" s="23">
        <v>43487</v>
      </c>
      <c r="C3264" s="24">
        <v>265.82</v>
      </c>
      <c r="D3264" s="25" t="str">
        <f t="shared" si="100"/>
        <v>201904</v>
      </c>
      <c r="E3264" s="22" t="str">
        <f t="shared" ca="1" si="101"/>
        <v>201901</v>
      </c>
      <c r="F3264" s="22">
        <v>2019</v>
      </c>
    </row>
    <row r="3265" spans="1:6" ht="15.75">
      <c r="A3265" s="22" t="s">
        <v>1442</v>
      </c>
      <c r="B3265" s="23">
        <v>43487</v>
      </c>
      <c r="C3265" s="24">
        <v>0</v>
      </c>
      <c r="D3265" s="25" t="str">
        <f t="shared" si="100"/>
        <v>201904</v>
      </c>
      <c r="E3265" s="22" t="str">
        <f t="shared" ca="1" si="101"/>
        <v>201901</v>
      </c>
      <c r="F3265" s="22">
        <v>2019</v>
      </c>
    </row>
    <row r="3266" spans="1:6" ht="15.75">
      <c r="A3266" s="22" t="s">
        <v>1441</v>
      </c>
      <c r="B3266" s="26">
        <v>43487</v>
      </c>
      <c r="C3266" s="27">
        <v>0</v>
      </c>
      <c r="D3266" s="25" t="str">
        <f t="shared" si="100"/>
        <v>201904</v>
      </c>
      <c r="E3266" s="22" t="str">
        <f t="shared" ca="1" si="101"/>
        <v>201901</v>
      </c>
      <c r="F3266" s="22">
        <v>2019</v>
      </c>
    </row>
    <row r="3267" spans="1:6" ht="15.75">
      <c r="A3267" s="22" t="s">
        <v>1442</v>
      </c>
      <c r="B3267" s="23">
        <v>43488</v>
      </c>
      <c r="C3267" s="24">
        <v>258.18</v>
      </c>
      <c r="D3267" s="25" t="str">
        <f t="shared" ref="D3267:D3330" si="102">CONCATENATE(YEAR(B3267-WEEKDAY(B3267,3)+3),TEXT(WEEKNUM(B3267,21),"00"))</f>
        <v>201904</v>
      </c>
      <c r="E3267" s="22" t="str">
        <f t="shared" ref="E3267:E3330" ca="1" si="103">IF(
  AND(
    YEAR(B3267)=YEAR(TODAY())-1,
    MONTH(B3267)=MONTH(TODAY()),
    DAY(B3267)&gt;DAY($H$2)
  ),
  0,
  CONCATENATE(YEAR(B3267),TEXT(MONTH(B3267),"00"))
)</f>
        <v>201901</v>
      </c>
      <c r="F3267" s="22">
        <v>2019</v>
      </c>
    </row>
    <row r="3268" spans="1:6" ht="15.75">
      <c r="A3268" s="22" t="s">
        <v>1442</v>
      </c>
      <c r="B3268" s="23">
        <v>43488</v>
      </c>
      <c r="C3268" s="24">
        <v>0</v>
      </c>
      <c r="D3268" s="25" t="str">
        <f t="shared" si="102"/>
        <v>201904</v>
      </c>
      <c r="E3268" s="22" t="str">
        <f t="shared" ca="1" si="103"/>
        <v>201901</v>
      </c>
      <c r="F3268" s="22">
        <v>2019</v>
      </c>
    </row>
    <row r="3269" spans="1:6" ht="15.75">
      <c r="A3269" s="22" t="s">
        <v>1441</v>
      </c>
      <c r="B3269" s="26">
        <v>43488</v>
      </c>
      <c r="C3269" s="27">
        <v>0</v>
      </c>
      <c r="D3269" s="25" t="str">
        <f t="shared" si="102"/>
        <v>201904</v>
      </c>
      <c r="E3269" s="22" t="str">
        <f t="shared" ca="1" si="103"/>
        <v>201901</v>
      </c>
      <c r="F3269" s="22">
        <v>2019</v>
      </c>
    </row>
    <row r="3270" spans="1:6" ht="15.75">
      <c r="A3270" s="22" t="s">
        <v>1442</v>
      </c>
      <c r="B3270" s="23">
        <v>43489</v>
      </c>
      <c r="C3270" s="24">
        <v>274</v>
      </c>
      <c r="D3270" s="25" t="str">
        <f t="shared" si="102"/>
        <v>201904</v>
      </c>
      <c r="E3270" s="22" t="str">
        <f t="shared" ca="1" si="103"/>
        <v>201901</v>
      </c>
      <c r="F3270" s="22">
        <v>2019</v>
      </c>
    </row>
    <row r="3271" spans="1:6" ht="15.75">
      <c r="A3271" s="22" t="s">
        <v>1442</v>
      </c>
      <c r="B3271" s="23">
        <v>43489</v>
      </c>
      <c r="C3271" s="24">
        <v>0.4</v>
      </c>
      <c r="D3271" s="25" t="str">
        <f t="shared" si="102"/>
        <v>201904</v>
      </c>
      <c r="E3271" s="22" t="str">
        <f t="shared" ca="1" si="103"/>
        <v>201901</v>
      </c>
      <c r="F3271" s="22">
        <v>2019</v>
      </c>
    </row>
    <row r="3272" spans="1:6" ht="15.75">
      <c r="A3272" s="22" t="s">
        <v>1441</v>
      </c>
      <c r="B3272" s="26">
        <v>43489</v>
      </c>
      <c r="C3272" s="27">
        <v>0</v>
      </c>
      <c r="D3272" s="25" t="str">
        <f t="shared" si="102"/>
        <v>201904</v>
      </c>
      <c r="E3272" s="22" t="str">
        <f t="shared" ca="1" si="103"/>
        <v>201901</v>
      </c>
      <c r="F3272" s="22">
        <v>2019</v>
      </c>
    </row>
    <row r="3273" spans="1:6" ht="15.75">
      <c r="A3273" s="22" t="s">
        <v>1442</v>
      </c>
      <c r="B3273" s="23">
        <v>43490</v>
      </c>
      <c r="C3273" s="24">
        <v>266.75</v>
      </c>
      <c r="D3273" s="25" t="str">
        <f t="shared" si="102"/>
        <v>201904</v>
      </c>
      <c r="E3273" s="22" t="str">
        <f t="shared" ca="1" si="103"/>
        <v>201901</v>
      </c>
      <c r="F3273" s="22">
        <v>2019</v>
      </c>
    </row>
    <row r="3274" spans="1:6" ht="15.75">
      <c r="A3274" s="22" t="s">
        <v>1442</v>
      </c>
      <c r="B3274" s="23">
        <v>43490</v>
      </c>
      <c r="C3274" s="24">
        <v>0.4</v>
      </c>
      <c r="D3274" s="25" t="str">
        <f t="shared" si="102"/>
        <v>201904</v>
      </c>
      <c r="E3274" s="22" t="str">
        <f t="shared" ca="1" si="103"/>
        <v>201901</v>
      </c>
      <c r="F3274" s="22">
        <v>2019</v>
      </c>
    </row>
    <row r="3275" spans="1:6" ht="15.75">
      <c r="A3275" s="22" t="s">
        <v>1441</v>
      </c>
      <c r="B3275" s="26">
        <v>43490</v>
      </c>
      <c r="C3275" s="27">
        <v>0</v>
      </c>
      <c r="D3275" s="25" t="str">
        <f t="shared" si="102"/>
        <v>201904</v>
      </c>
      <c r="E3275" s="22" t="str">
        <f t="shared" ca="1" si="103"/>
        <v>201901</v>
      </c>
      <c r="F3275" s="22">
        <v>2019</v>
      </c>
    </row>
    <row r="3276" spans="1:6" ht="15.75">
      <c r="A3276" s="22" t="s">
        <v>1442</v>
      </c>
      <c r="B3276" s="23">
        <v>43491</v>
      </c>
      <c r="C3276" s="24">
        <v>344.92</v>
      </c>
      <c r="D3276" s="25" t="str">
        <f t="shared" si="102"/>
        <v>201904</v>
      </c>
      <c r="E3276" s="22" t="str">
        <f t="shared" ca="1" si="103"/>
        <v>201901</v>
      </c>
      <c r="F3276" s="22">
        <v>2019</v>
      </c>
    </row>
    <row r="3277" spans="1:6" ht="15.75">
      <c r="A3277" s="22" t="s">
        <v>1442</v>
      </c>
      <c r="B3277" s="23">
        <v>43491</v>
      </c>
      <c r="C3277" s="24">
        <v>0</v>
      </c>
      <c r="D3277" s="25" t="str">
        <f t="shared" si="102"/>
        <v>201904</v>
      </c>
      <c r="E3277" s="22" t="str">
        <f t="shared" ca="1" si="103"/>
        <v>201901</v>
      </c>
      <c r="F3277" s="22">
        <v>2019</v>
      </c>
    </row>
    <row r="3278" spans="1:6" ht="15.75">
      <c r="A3278" s="22" t="s">
        <v>1441</v>
      </c>
      <c r="B3278" s="26">
        <v>43491</v>
      </c>
      <c r="C3278" s="27">
        <v>0</v>
      </c>
      <c r="D3278" s="25" t="str">
        <f t="shared" si="102"/>
        <v>201904</v>
      </c>
      <c r="E3278" s="22" t="str">
        <f t="shared" ca="1" si="103"/>
        <v>201901</v>
      </c>
      <c r="F3278" s="22">
        <v>2019</v>
      </c>
    </row>
    <row r="3279" spans="1:6" ht="15.75">
      <c r="A3279" s="22" t="s">
        <v>1442</v>
      </c>
      <c r="B3279" s="23">
        <v>43492</v>
      </c>
      <c r="C3279" s="24">
        <v>536.13</v>
      </c>
      <c r="D3279" s="25" t="str">
        <f t="shared" si="102"/>
        <v>201904</v>
      </c>
      <c r="E3279" s="22" t="str">
        <f t="shared" ca="1" si="103"/>
        <v>201901</v>
      </c>
      <c r="F3279" s="22">
        <v>2019</v>
      </c>
    </row>
    <row r="3280" spans="1:6" ht="15.75">
      <c r="A3280" s="22" t="s">
        <v>1442</v>
      </c>
      <c r="B3280" s="23">
        <v>43492</v>
      </c>
      <c r="C3280" s="24">
        <v>0</v>
      </c>
      <c r="D3280" s="25" t="str">
        <f t="shared" si="102"/>
        <v>201904</v>
      </c>
      <c r="E3280" s="22" t="str">
        <f t="shared" ca="1" si="103"/>
        <v>201901</v>
      </c>
      <c r="F3280" s="22">
        <v>2019</v>
      </c>
    </row>
    <row r="3281" spans="1:6" ht="15.75">
      <c r="A3281" s="22" t="s">
        <v>1441</v>
      </c>
      <c r="B3281" s="26">
        <v>43492</v>
      </c>
      <c r="C3281" s="27">
        <v>0</v>
      </c>
      <c r="D3281" s="25" t="str">
        <f t="shared" si="102"/>
        <v>201904</v>
      </c>
      <c r="E3281" s="22" t="str">
        <f t="shared" ca="1" si="103"/>
        <v>201901</v>
      </c>
      <c r="F3281" s="22">
        <v>2019</v>
      </c>
    </row>
    <row r="3282" spans="1:6" ht="15.75">
      <c r="A3282" s="22" t="s">
        <v>1442</v>
      </c>
      <c r="B3282" s="23">
        <v>43493</v>
      </c>
      <c r="C3282" s="24">
        <v>328.61</v>
      </c>
      <c r="D3282" s="25" t="str">
        <f t="shared" si="102"/>
        <v>201905</v>
      </c>
      <c r="E3282" s="22" t="str">
        <f t="shared" ca="1" si="103"/>
        <v>201901</v>
      </c>
      <c r="F3282" s="22">
        <v>2019</v>
      </c>
    </row>
    <row r="3283" spans="1:6" ht="15.75">
      <c r="A3283" s="22" t="s">
        <v>1442</v>
      </c>
      <c r="B3283" s="23">
        <v>43493</v>
      </c>
      <c r="C3283" s="24">
        <v>0.4</v>
      </c>
      <c r="D3283" s="25" t="str">
        <f t="shared" si="102"/>
        <v>201905</v>
      </c>
      <c r="E3283" s="22" t="str">
        <f t="shared" ca="1" si="103"/>
        <v>201901</v>
      </c>
      <c r="F3283" s="22">
        <v>2019</v>
      </c>
    </row>
    <row r="3284" spans="1:6" ht="15.75">
      <c r="A3284" s="22" t="s">
        <v>1441</v>
      </c>
      <c r="B3284" s="26">
        <v>43493</v>
      </c>
      <c r="C3284" s="27">
        <v>0</v>
      </c>
      <c r="D3284" s="25" t="str">
        <f t="shared" si="102"/>
        <v>201905</v>
      </c>
      <c r="E3284" s="22" t="str">
        <f t="shared" ca="1" si="103"/>
        <v>201901</v>
      </c>
      <c r="F3284" s="22">
        <v>2019</v>
      </c>
    </row>
    <row r="3285" spans="1:6" ht="15.75">
      <c r="A3285" s="22" t="s">
        <v>1442</v>
      </c>
      <c r="B3285" s="23">
        <v>43494</v>
      </c>
      <c r="C3285" s="24">
        <v>322.8</v>
      </c>
      <c r="D3285" s="25" t="str">
        <f t="shared" si="102"/>
        <v>201905</v>
      </c>
      <c r="E3285" s="22" t="str">
        <f t="shared" ca="1" si="103"/>
        <v>201901</v>
      </c>
      <c r="F3285" s="22">
        <v>2019</v>
      </c>
    </row>
    <row r="3286" spans="1:6" ht="15.75">
      <c r="A3286" s="22" t="s">
        <v>1442</v>
      </c>
      <c r="B3286" s="23">
        <v>43494</v>
      </c>
      <c r="C3286" s="24">
        <v>0</v>
      </c>
      <c r="D3286" s="25" t="str">
        <f t="shared" si="102"/>
        <v>201905</v>
      </c>
      <c r="E3286" s="22" t="str">
        <f t="shared" ca="1" si="103"/>
        <v>201901</v>
      </c>
      <c r="F3286" s="22">
        <v>2019</v>
      </c>
    </row>
    <row r="3287" spans="1:6" ht="15.75">
      <c r="A3287" s="22" t="s">
        <v>1441</v>
      </c>
      <c r="B3287" s="26">
        <v>43494</v>
      </c>
      <c r="C3287" s="27">
        <v>0</v>
      </c>
      <c r="D3287" s="25" t="str">
        <f t="shared" si="102"/>
        <v>201905</v>
      </c>
      <c r="E3287" s="22" t="str">
        <f t="shared" ca="1" si="103"/>
        <v>201901</v>
      </c>
      <c r="F3287" s="22">
        <v>2019</v>
      </c>
    </row>
    <row r="3288" spans="1:6" ht="15.75">
      <c r="A3288" s="22" t="s">
        <v>1442</v>
      </c>
      <c r="B3288" s="23">
        <v>43495</v>
      </c>
      <c r="C3288" s="24">
        <v>247.72</v>
      </c>
      <c r="D3288" s="25" t="str">
        <f t="shared" si="102"/>
        <v>201905</v>
      </c>
      <c r="E3288" s="22" t="str">
        <f t="shared" ca="1" si="103"/>
        <v>201901</v>
      </c>
      <c r="F3288" s="22">
        <v>2019</v>
      </c>
    </row>
    <row r="3289" spans="1:6" ht="15.75">
      <c r="A3289" s="22" t="s">
        <v>1442</v>
      </c>
      <c r="B3289" s="23">
        <v>43495</v>
      </c>
      <c r="C3289" s="24">
        <v>1.19</v>
      </c>
      <c r="D3289" s="25" t="str">
        <f t="shared" si="102"/>
        <v>201905</v>
      </c>
      <c r="E3289" s="22" t="str">
        <f t="shared" ca="1" si="103"/>
        <v>201901</v>
      </c>
      <c r="F3289" s="22">
        <v>2019</v>
      </c>
    </row>
    <row r="3290" spans="1:6" ht="15.75">
      <c r="A3290" s="22" t="s">
        <v>1441</v>
      </c>
      <c r="B3290" s="26">
        <v>43495</v>
      </c>
      <c r="C3290" s="27">
        <v>0</v>
      </c>
      <c r="D3290" s="25" t="str">
        <f t="shared" si="102"/>
        <v>201905</v>
      </c>
      <c r="E3290" s="22" t="str">
        <f t="shared" ca="1" si="103"/>
        <v>201901</v>
      </c>
      <c r="F3290" s="22">
        <v>2019</v>
      </c>
    </row>
    <row r="3291" spans="1:6" ht="15.75">
      <c r="A3291" s="22" t="s">
        <v>1442</v>
      </c>
      <c r="B3291" s="23">
        <v>43496</v>
      </c>
      <c r="C3291" s="24">
        <v>219.04</v>
      </c>
      <c r="D3291" s="25" t="str">
        <f t="shared" si="102"/>
        <v>201905</v>
      </c>
      <c r="E3291" s="22" t="str">
        <f t="shared" ca="1" si="103"/>
        <v>201901</v>
      </c>
      <c r="F3291" s="22">
        <v>2019</v>
      </c>
    </row>
    <row r="3292" spans="1:6" ht="15.75">
      <c r="A3292" s="22" t="s">
        <v>1442</v>
      </c>
      <c r="B3292" s="23">
        <v>43496</v>
      </c>
      <c r="C3292" s="24">
        <v>1.19</v>
      </c>
      <c r="D3292" s="25" t="str">
        <f t="shared" si="102"/>
        <v>201905</v>
      </c>
      <c r="E3292" s="22" t="str">
        <f t="shared" ca="1" si="103"/>
        <v>201901</v>
      </c>
      <c r="F3292" s="22">
        <v>2019</v>
      </c>
    </row>
    <row r="3293" spans="1:6" ht="15.75">
      <c r="A3293" s="22" t="s">
        <v>1441</v>
      </c>
      <c r="B3293" s="26">
        <v>43496</v>
      </c>
      <c r="C3293" s="27">
        <v>0</v>
      </c>
      <c r="D3293" s="25" t="str">
        <f t="shared" si="102"/>
        <v>201905</v>
      </c>
      <c r="E3293" s="22" t="str">
        <f t="shared" ca="1" si="103"/>
        <v>201901</v>
      </c>
      <c r="F3293" s="22">
        <v>2019</v>
      </c>
    </row>
    <row r="3294" spans="1:6" ht="15.75">
      <c r="A3294" s="22" t="s">
        <v>1442</v>
      </c>
      <c r="B3294" s="23">
        <v>43497</v>
      </c>
      <c r="C3294" s="24">
        <v>212.35</v>
      </c>
      <c r="D3294" s="25" t="str">
        <f t="shared" si="102"/>
        <v>201905</v>
      </c>
      <c r="E3294" s="22" t="str">
        <f t="shared" ca="1" si="103"/>
        <v>201902</v>
      </c>
      <c r="F3294" s="22">
        <v>2019</v>
      </c>
    </row>
    <row r="3295" spans="1:6" ht="15.75">
      <c r="A3295" s="22" t="s">
        <v>1442</v>
      </c>
      <c r="B3295" s="23">
        <v>43497</v>
      </c>
      <c r="C3295" s="24">
        <v>0.76</v>
      </c>
      <c r="D3295" s="25" t="str">
        <f t="shared" si="102"/>
        <v>201905</v>
      </c>
      <c r="E3295" s="22" t="str">
        <f t="shared" ca="1" si="103"/>
        <v>201902</v>
      </c>
      <c r="F3295" s="22">
        <v>2019</v>
      </c>
    </row>
    <row r="3296" spans="1:6" ht="15.75">
      <c r="A3296" s="22" t="s">
        <v>1441</v>
      </c>
      <c r="B3296" s="26">
        <v>43497</v>
      </c>
      <c r="C3296" s="27">
        <v>0</v>
      </c>
      <c r="D3296" s="25" t="str">
        <f t="shared" si="102"/>
        <v>201905</v>
      </c>
      <c r="E3296" s="22" t="str">
        <f t="shared" ca="1" si="103"/>
        <v>201902</v>
      </c>
      <c r="F3296" s="22">
        <v>2019</v>
      </c>
    </row>
    <row r="3297" spans="1:6" ht="15.75">
      <c r="A3297" s="22" t="s">
        <v>1442</v>
      </c>
      <c r="B3297" s="23">
        <v>43498</v>
      </c>
      <c r="C3297" s="24">
        <v>246.66</v>
      </c>
      <c r="D3297" s="25" t="str">
        <f t="shared" si="102"/>
        <v>201905</v>
      </c>
      <c r="E3297" s="22" t="str">
        <f t="shared" ca="1" si="103"/>
        <v>201902</v>
      </c>
      <c r="F3297" s="22">
        <v>2019</v>
      </c>
    </row>
    <row r="3298" spans="1:6" ht="15.75">
      <c r="A3298" s="22" t="s">
        <v>1442</v>
      </c>
      <c r="B3298" s="23">
        <v>43498</v>
      </c>
      <c r="C3298" s="24">
        <v>0</v>
      </c>
      <c r="D3298" s="25" t="str">
        <f t="shared" si="102"/>
        <v>201905</v>
      </c>
      <c r="E3298" s="22" t="str">
        <f t="shared" ca="1" si="103"/>
        <v>201902</v>
      </c>
      <c r="F3298" s="22">
        <v>2019</v>
      </c>
    </row>
    <row r="3299" spans="1:6" ht="15.75">
      <c r="A3299" s="22" t="s">
        <v>1441</v>
      </c>
      <c r="B3299" s="26">
        <v>43498</v>
      </c>
      <c r="C3299" s="27">
        <v>0</v>
      </c>
      <c r="D3299" s="25" t="str">
        <f t="shared" si="102"/>
        <v>201905</v>
      </c>
      <c r="E3299" s="22" t="str">
        <f t="shared" ca="1" si="103"/>
        <v>201902</v>
      </c>
      <c r="F3299" s="22">
        <v>2019</v>
      </c>
    </row>
    <row r="3300" spans="1:6" ht="15.75">
      <c r="A3300" s="22" t="s">
        <v>1442</v>
      </c>
      <c r="B3300" s="23">
        <v>43499</v>
      </c>
      <c r="C3300" s="24">
        <v>454.38</v>
      </c>
      <c r="D3300" s="25" t="str">
        <f t="shared" si="102"/>
        <v>201905</v>
      </c>
      <c r="E3300" s="22" t="str">
        <f t="shared" ca="1" si="103"/>
        <v>201902</v>
      </c>
      <c r="F3300" s="22">
        <v>2019</v>
      </c>
    </row>
    <row r="3301" spans="1:6" ht="15.75">
      <c r="A3301" s="22" t="s">
        <v>1442</v>
      </c>
      <c r="B3301" s="23">
        <v>43499</v>
      </c>
      <c r="C3301" s="24">
        <v>0.76</v>
      </c>
      <c r="D3301" s="25" t="str">
        <f t="shared" si="102"/>
        <v>201905</v>
      </c>
      <c r="E3301" s="22" t="str">
        <f t="shared" ca="1" si="103"/>
        <v>201902</v>
      </c>
      <c r="F3301" s="22">
        <v>2019</v>
      </c>
    </row>
    <row r="3302" spans="1:6" ht="15.75">
      <c r="A3302" s="22" t="s">
        <v>1441</v>
      </c>
      <c r="B3302" s="26">
        <v>43499</v>
      </c>
      <c r="C3302" s="27">
        <v>0</v>
      </c>
      <c r="D3302" s="25" t="str">
        <f t="shared" si="102"/>
        <v>201905</v>
      </c>
      <c r="E3302" s="22" t="str">
        <f t="shared" ca="1" si="103"/>
        <v>201902</v>
      </c>
      <c r="F3302" s="22">
        <v>2019</v>
      </c>
    </row>
    <row r="3303" spans="1:6" ht="15.75">
      <c r="A3303" s="22" t="s">
        <v>1442</v>
      </c>
      <c r="B3303" s="23">
        <v>43500</v>
      </c>
      <c r="C3303" s="24">
        <v>290.64</v>
      </c>
      <c r="D3303" s="25" t="str">
        <f t="shared" si="102"/>
        <v>201906</v>
      </c>
      <c r="E3303" s="22" t="str">
        <f t="shared" ca="1" si="103"/>
        <v>201902</v>
      </c>
      <c r="F3303" s="22">
        <v>2019</v>
      </c>
    </row>
    <row r="3304" spans="1:6" ht="15.75">
      <c r="A3304" s="22" t="s">
        <v>1442</v>
      </c>
      <c r="B3304" s="23">
        <v>43500</v>
      </c>
      <c r="C3304" s="24">
        <v>1.1399999999999999</v>
      </c>
      <c r="D3304" s="25" t="str">
        <f t="shared" si="102"/>
        <v>201906</v>
      </c>
      <c r="E3304" s="22" t="str">
        <f t="shared" ca="1" si="103"/>
        <v>201902</v>
      </c>
      <c r="F3304" s="22">
        <v>2019</v>
      </c>
    </row>
    <row r="3305" spans="1:6" ht="15.75">
      <c r="A3305" s="22" t="s">
        <v>1441</v>
      </c>
      <c r="B3305" s="26">
        <v>43500</v>
      </c>
      <c r="C3305" s="27">
        <v>0</v>
      </c>
      <c r="D3305" s="25" t="str">
        <f t="shared" si="102"/>
        <v>201906</v>
      </c>
      <c r="E3305" s="22" t="str">
        <f t="shared" ca="1" si="103"/>
        <v>201902</v>
      </c>
      <c r="F3305" s="22">
        <v>2019</v>
      </c>
    </row>
    <row r="3306" spans="1:6" ht="15.75">
      <c r="A3306" s="22" t="s">
        <v>1442</v>
      </c>
      <c r="B3306" s="23">
        <v>43501</v>
      </c>
      <c r="C3306" s="24">
        <v>282.45</v>
      </c>
      <c r="D3306" s="25" t="str">
        <f t="shared" si="102"/>
        <v>201906</v>
      </c>
      <c r="E3306" s="22" t="str">
        <f t="shared" ca="1" si="103"/>
        <v>201902</v>
      </c>
      <c r="F3306" s="22">
        <v>2019</v>
      </c>
    </row>
    <row r="3307" spans="1:6" ht="15.75">
      <c r="A3307" s="22" t="s">
        <v>1442</v>
      </c>
      <c r="B3307" s="23">
        <v>43501</v>
      </c>
      <c r="C3307" s="24">
        <v>0.38</v>
      </c>
      <c r="D3307" s="25" t="str">
        <f t="shared" si="102"/>
        <v>201906</v>
      </c>
      <c r="E3307" s="22" t="str">
        <f t="shared" ca="1" si="103"/>
        <v>201902</v>
      </c>
      <c r="F3307" s="22">
        <v>2019</v>
      </c>
    </row>
    <row r="3308" spans="1:6" ht="15.75">
      <c r="A3308" s="22" t="s">
        <v>1441</v>
      </c>
      <c r="B3308" s="26">
        <v>43501</v>
      </c>
      <c r="C3308" s="27">
        <v>0</v>
      </c>
      <c r="D3308" s="25" t="str">
        <f t="shared" si="102"/>
        <v>201906</v>
      </c>
      <c r="E3308" s="22" t="str">
        <f t="shared" ca="1" si="103"/>
        <v>201902</v>
      </c>
      <c r="F3308" s="22">
        <v>2019</v>
      </c>
    </row>
    <row r="3309" spans="1:6" ht="15.75">
      <c r="A3309" s="22" t="s">
        <v>1442</v>
      </c>
      <c r="B3309" s="23">
        <v>43502</v>
      </c>
      <c r="C3309" s="24">
        <v>229.24</v>
      </c>
      <c r="D3309" s="25" t="str">
        <f t="shared" si="102"/>
        <v>201906</v>
      </c>
      <c r="E3309" s="22" t="str">
        <f t="shared" ca="1" si="103"/>
        <v>201902</v>
      </c>
      <c r="F3309" s="22">
        <v>2019</v>
      </c>
    </row>
    <row r="3310" spans="1:6" ht="15.75">
      <c r="A3310" s="22" t="s">
        <v>1442</v>
      </c>
      <c r="B3310" s="23">
        <v>43502</v>
      </c>
      <c r="C3310" s="24">
        <v>0.56999999999999995</v>
      </c>
      <c r="D3310" s="25" t="str">
        <f t="shared" si="102"/>
        <v>201906</v>
      </c>
      <c r="E3310" s="22" t="str">
        <f t="shared" ca="1" si="103"/>
        <v>201902</v>
      </c>
      <c r="F3310" s="22">
        <v>2019</v>
      </c>
    </row>
    <row r="3311" spans="1:6" ht="15.75">
      <c r="A3311" s="22" t="s">
        <v>1441</v>
      </c>
      <c r="B3311" s="26">
        <v>43502</v>
      </c>
      <c r="C3311" s="27">
        <v>0</v>
      </c>
      <c r="D3311" s="25" t="str">
        <f t="shared" si="102"/>
        <v>201906</v>
      </c>
      <c r="E3311" s="22" t="str">
        <f t="shared" ca="1" si="103"/>
        <v>201902</v>
      </c>
      <c r="F3311" s="22">
        <v>2019</v>
      </c>
    </row>
    <row r="3312" spans="1:6" ht="15.75">
      <c r="A3312" s="22" t="s">
        <v>1442</v>
      </c>
      <c r="B3312" s="23">
        <v>43503</v>
      </c>
      <c r="C3312" s="24">
        <v>253.08</v>
      </c>
      <c r="D3312" s="25" t="str">
        <f t="shared" si="102"/>
        <v>201906</v>
      </c>
      <c r="E3312" s="22" t="str">
        <f t="shared" ca="1" si="103"/>
        <v>201902</v>
      </c>
      <c r="F3312" s="22">
        <v>2019</v>
      </c>
    </row>
    <row r="3313" spans="1:6" ht="15.75">
      <c r="A3313" s="22" t="s">
        <v>1442</v>
      </c>
      <c r="B3313" s="23">
        <v>43503</v>
      </c>
      <c r="C3313" s="24">
        <v>1</v>
      </c>
      <c r="D3313" s="25" t="str">
        <f t="shared" si="102"/>
        <v>201906</v>
      </c>
      <c r="E3313" s="22" t="str">
        <f t="shared" ca="1" si="103"/>
        <v>201902</v>
      </c>
      <c r="F3313" s="22">
        <v>2019</v>
      </c>
    </row>
    <row r="3314" spans="1:6" ht="15.75">
      <c r="A3314" s="22" t="s">
        <v>1441</v>
      </c>
      <c r="B3314" s="26">
        <v>43503</v>
      </c>
      <c r="C3314" s="27">
        <v>0</v>
      </c>
      <c r="D3314" s="25" t="str">
        <f t="shared" si="102"/>
        <v>201906</v>
      </c>
      <c r="E3314" s="22" t="str">
        <f t="shared" ca="1" si="103"/>
        <v>201902</v>
      </c>
      <c r="F3314" s="22">
        <v>2019</v>
      </c>
    </row>
    <row r="3315" spans="1:6" ht="15.75">
      <c r="A3315" s="22" t="s">
        <v>1442</v>
      </c>
      <c r="B3315" s="23">
        <v>43504</v>
      </c>
      <c r="C3315" s="24">
        <v>246.76</v>
      </c>
      <c r="D3315" s="25" t="str">
        <f t="shared" si="102"/>
        <v>201906</v>
      </c>
      <c r="E3315" s="22" t="str">
        <f t="shared" ca="1" si="103"/>
        <v>201902</v>
      </c>
      <c r="F3315" s="22">
        <v>2019</v>
      </c>
    </row>
    <row r="3316" spans="1:6" ht="15.75">
      <c r="A3316" s="22" t="s">
        <v>1442</v>
      </c>
      <c r="B3316" s="23">
        <v>43504</v>
      </c>
      <c r="C3316" s="24">
        <v>0.38</v>
      </c>
      <c r="D3316" s="25" t="str">
        <f t="shared" si="102"/>
        <v>201906</v>
      </c>
      <c r="E3316" s="22" t="str">
        <f t="shared" ca="1" si="103"/>
        <v>201902</v>
      </c>
      <c r="F3316" s="22">
        <v>2019</v>
      </c>
    </row>
    <row r="3317" spans="1:6" ht="15.75">
      <c r="A3317" s="22" t="s">
        <v>1441</v>
      </c>
      <c r="B3317" s="26">
        <v>43504</v>
      </c>
      <c r="C3317" s="27">
        <v>0</v>
      </c>
      <c r="D3317" s="25" t="str">
        <f t="shared" si="102"/>
        <v>201906</v>
      </c>
      <c r="E3317" s="22" t="str">
        <f t="shared" ca="1" si="103"/>
        <v>201902</v>
      </c>
      <c r="F3317" s="22">
        <v>2019</v>
      </c>
    </row>
    <row r="3318" spans="1:6" ht="15.75">
      <c r="A3318" s="22" t="s">
        <v>1442</v>
      </c>
      <c r="B3318" s="23">
        <v>43505</v>
      </c>
      <c r="C3318" s="24">
        <v>301.99</v>
      </c>
      <c r="D3318" s="25" t="str">
        <f t="shared" si="102"/>
        <v>201906</v>
      </c>
      <c r="E3318" s="22" t="str">
        <f t="shared" ca="1" si="103"/>
        <v>201902</v>
      </c>
      <c r="F3318" s="22">
        <v>2019</v>
      </c>
    </row>
    <row r="3319" spans="1:6" ht="15.75">
      <c r="A3319" s="22" t="s">
        <v>1442</v>
      </c>
      <c r="B3319" s="23">
        <v>43505</v>
      </c>
      <c r="C3319" s="24">
        <v>0.38</v>
      </c>
      <c r="D3319" s="25" t="str">
        <f t="shared" si="102"/>
        <v>201906</v>
      </c>
      <c r="E3319" s="22" t="str">
        <f t="shared" ca="1" si="103"/>
        <v>201902</v>
      </c>
      <c r="F3319" s="22">
        <v>2019</v>
      </c>
    </row>
    <row r="3320" spans="1:6" ht="15.75">
      <c r="A3320" s="22" t="s">
        <v>1441</v>
      </c>
      <c r="B3320" s="26">
        <v>43505</v>
      </c>
      <c r="C3320" s="27">
        <v>0</v>
      </c>
      <c r="D3320" s="25" t="str">
        <f t="shared" si="102"/>
        <v>201906</v>
      </c>
      <c r="E3320" s="22" t="str">
        <f t="shared" ca="1" si="103"/>
        <v>201902</v>
      </c>
      <c r="F3320" s="22">
        <v>2019</v>
      </c>
    </row>
    <row r="3321" spans="1:6" ht="15.75">
      <c r="A3321" s="22" t="s">
        <v>1442</v>
      </c>
      <c r="B3321" s="23">
        <v>43506</v>
      </c>
      <c r="C3321" s="24">
        <v>499.96</v>
      </c>
      <c r="D3321" s="25" t="str">
        <f t="shared" si="102"/>
        <v>201906</v>
      </c>
      <c r="E3321" s="22" t="str">
        <f t="shared" ca="1" si="103"/>
        <v>201902</v>
      </c>
      <c r="F3321" s="22">
        <v>2019</v>
      </c>
    </row>
    <row r="3322" spans="1:6" ht="15.75">
      <c r="A3322" s="22" t="s">
        <v>1442</v>
      </c>
      <c r="B3322" s="23">
        <v>43506</v>
      </c>
      <c r="C3322" s="24">
        <v>0.38</v>
      </c>
      <c r="D3322" s="25" t="str">
        <f t="shared" si="102"/>
        <v>201906</v>
      </c>
      <c r="E3322" s="22" t="str">
        <f t="shared" ca="1" si="103"/>
        <v>201902</v>
      </c>
      <c r="F3322" s="22">
        <v>2019</v>
      </c>
    </row>
    <row r="3323" spans="1:6" ht="15.75">
      <c r="A3323" s="22" t="s">
        <v>1441</v>
      </c>
      <c r="B3323" s="26">
        <v>43506</v>
      </c>
      <c r="C3323" s="27">
        <v>0</v>
      </c>
      <c r="D3323" s="25" t="str">
        <f t="shared" si="102"/>
        <v>201906</v>
      </c>
      <c r="E3323" s="22" t="str">
        <f t="shared" ca="1" si="103"/>
        <v>201902</v>
      </c>
      <c r="F3323" s="22">
        <v>2019</v>
      </c>
    </row>
    <row r="3324" spans="1:6" ht="15.75">
      <c r="A3324" s="22" t="s">
        <v>1442</v>
      </c>
      <c r="B3324" s="23">
        <v>43507</v>
      </c>
      <c r="C3324" s="24">
        <v>271.54000000000002</v>
      </c>
      <c r="D3324" s="25" t="str">
        <f t="shared" si="102"/>
        <v>201907</v>
      </c>
      <c r="E3324" s="22" t="str">
        <f t="shared" ca="1" si="103"/>
        <v>201902</v>
      </c>
      <c r="F3324" s="22">
        <v>2019</v>
      </c>
    </row>
    <row r="3325" spans="1:6" ht="15.75">
      <c r="A3325" s="22" t="s">
        <v>1442</v>
      </c>
      <c r="B3325" s="23">
        <v>43507</v>
      </c>
      <c r="C3325" s="24">
        <v>0.76</v>
      </c>
      <c r="D3325" s="25" t="str">
        <f t="shared" si="102"/>
        <v>201907</v>
      </c>
      <c r="E3325" s="22" t="str">
        <f t="shared" ca="1" si="103"/>
        <v>201902</v>
      </c>
      <c r="F3325" s="22">
        <v>2019</v>
      </c>
    </row>
    <row r="3326" spans="1:6" ht="15.75">
      <c r="A3326" s="22" t="s">
        <v>1441</v>
      </c>
      <c r="B3326" s="26">
        <v>43507</v>
      </c>
      <c r="C3326" s="27">
        <v>0</v>
      </c>
      <c r="D3326" s="25" t="str">
        <f t="shared" si="102"/>
        <v>201907</v>
      </c>
      <c r="E3326" s="22" t="str">
        <f t="shared" ca="1" si="103"/>
        <v>201902</v>
      </c>
      <c r="F3326" s="22">
        <v>2019</v>
      </c>
    </row>
    <row r="3327" spans="1:6" ht="15.75">
      <c r="A3327" s="22" t="s">
        <v>1442</v>
      </c>
      <c r="B3327" s="23">
        <v>43508</v>
      </c>
      <c r="C3327" s="24">
        <v>245.26</v>
      </c>
      <c r="D3327" s="25" t="str">
        <f t="shared" si="102"/>
        <v>201907</v>
      </c>
      <c r="E3327" s="22" t="str">
        <f t="shared" ca="1" si="103"/>
        <v>201902</v>
      </c>
      <c r="F3327" s="22">
        <v>2019</v>
      </c>
    </row>
    <row r="3328" spans="1:6" ht="15.75">
      <c r="A3328" s="22" t="s">
        <v>1442</v>
      </c>
      <c r="B3328" s="23">
        <v>43508</v>
      </c>
      <c r="C3328" s="24">
        <v>0.76</v>
      </c>
      <c r="D3328" s="25" t="str">
        <f t="shared" si="102"/>
        <v>201907</v>
      </c>
      <c r="E3328" s="22" t="str">
        <f t="shared" ca="1" si="103"/>
        <v>201902</v>
      </c>
      <c r="F3328" s="22">
        <v>2019</v>
      </c>
    </row>
    <row r="3329" spans="1:6" ht="15.75">
      <c r="A3329" s="22" t="s">
        <v>1441</v>
      </c>
      <c r="B3329" s="26">
        <v>43508</v>
      </c>
      <c r="C3329" s="27">
        <v>0</v>
      </c>
      <c r="D3329" s="25" t="str">
        <f t="shared" si="102"/>
        <v>201907</v>
      </c>
      <c r="E3329" s="22" t="str">
        <f t="shared" ca="1" si="103"/>
        <v>201902</v>
      </c>
      <c r="F3329" s="22">
        <v>2019</v>
      </c>
    </row>
    <row r="3330" spans="1:6" ht="15.75">
      <c r="A3330" s="22" t="s">
        <v>1442</v>
      </c>
      <c r="B3330" s="23">
        <v>43509</v>
      </c>
      <c r="C3330" s="24">
        <v>220.51</v>
      </c>
      <c r="D3330" s="25" t="str">
        <f t="shared" si="102"/>
        <v>201907</v>
      </c>
      <c r="E3330" s="22" t="str">
        <f t="shared" ca="1" si="103"/>
        <v>201902</v>
      </c>
      <c r="F3330" s="22">
        <v>2019</v>
      </c>
    </row>
    <row r="3331" spans="1:6" ht="15.75">
      <c r="A3331" s="22" t="s">
        <v>1442</v>
      </c>
      <c r="B3331" s="23">
        <v>43509</v>
      </c>
      <c r="C3331" s="24">
        <v>0</v>
      </c>
      <c r="D3331" s="25" t="str">
        <f t="shared" ref="D3331:D3394" si="104">CONCATENATE(YEAR(B3331-WEEKDAY(B3331,3)+3),TEXT(WEEKNUM(B3331,21),"00"))</f>
        <v>201907</v>
      </c>
      <c r="E3331" s="22" t="str">
        <f t="shared" ref="E3331:E3394" ca="1" si="105">IF(
  AND(
    YEAR(B3331)=YEAR(TODAY())-1,
    MONTH(B3331)=MONTH(TODAY()),
    DAY(B3331)&gt;DAY($H$2)
  ),
  0,
  CONCATENATE(YEAR(B3331),TEXT(MONTH(B3331),"00"))
)</f>
        <v>201902</v>
      </c>
      <c r="F3331" s="22">
        <v>2019</v>
      </c>
    </row>
    <row r="3332" spans="1:6" ht="15.75">
      <c r="A3332" s="22" t="s">
        <v>1441</v>
      </c>
      <c r="B3332" s="26">
        <v>43509</v>
      </c>
      <c r="C3332" s="27">
        <v>0</v>
      </c>
      <c r="D3332" s="25" t="str">
        <f t="shared" si="104"/>
        <v>201907</v>
      </c>
      <c r="E3332" s="22" t="str">
        <f t="shared" ca="1" si="105"/>
        <v>201902</v>
      </c>
      <c r="F3332" s="22">
        <v>2019</v>
      </c>
    </row>
    <row r="3333" spans="1:6" ht="15.75">
      <c r="A3333" s="22" t="s">
        <v>1442</v>
      </c>
      <c r="B3333" s="23">
        <v>43510</v>
      </c>
      <c r="C3333" s="24">
        <v>159.83000000000001</v>
      </c>
      <c r="D3333" s="25" t="str">
        <f t="shared" si="104"/>
        <v>201907</v>
      </c>
      <c r="E3333" s="22" t="str">
        <f t="shared" ca="1" si="105"/>
        <v>201902</v>
      </c>
      <c r="F3333" s="22">
        <v>2019</v>
      </c>
    </row>
    <row r="3334" spans="1:6" ht="15.75">
      <c r="A3334" s="22" t="s">
        <v>1442</v>
      </c>
      <c r="B3334" s="23">
        <v>43510</v>
      </c>
      <c r="C3334" s="24">
        <v>0.21</v>
      </c>
      <c r="D3334" s="25" t="str">
        <f t="shared" si="104"/>
        <v>201907</v>
      </c>
      <c r="E3334" s="22" t="str">
        <f t="shared" ca="1" si="105"/>
        <v>201902</v>
      </c>
      <c r="F3334" s="22">
        <v>2019</v>
      </c>
    </row>
    <row r="3335" spans="1:6" ht="15.75">
      <c r="A3335" s="22" t="s">
        <v>1441</v>
      </c>
      <c r="B3335" s="26">
        <v>43510</v>
      </c>
      <c r="C3335" s="27">
        <v>0</v>
      </c>
      <c r="D3335" s="25" t="str">
        <f t="shared" si="104"/>
        <v>201907</v>
      </c>
      <c r="E3335" s="22" t="str">
        <f t="shared" ca="1" si="105"/>
        <v>201902</v>
      </c>
      <c r="F3335" s="22">
        <v>2019</v>
      </c>
    </row>
    <row r="3336" spans="1:6" ht="15.75">
      <c r="A3336" s="22" t="s">
        <v>1442</v>
      </c>
      <c r="B3336" s="23">
        <v>43511</v>
      </c>
      <c r="C3336" s="24">
        <v>176.94</v>
      </c>
      <c r="D3336" s="25" t="str">
        <f t="shared" si="104"/>
        <v>201907</v>
      </c>
      <c r="E3336" s="22" t="str">
        <f t="shared" ca="1" si="105"/>
        <v>201902</v>
      </c>
      <c r="F3336" s="22">
        <v>2019</v>
      </c>
    </row>
    <row r="3337" spans="1:6" ht="15.75">
      <c r="A3337" s="22" t="s">
        <v>1442</v>
      </c>
      <c r="B3337" s="23">
        <v>43511</v>
      </c>
      <c r="C3337" s="24">
        <v>0.38</v>
      </c>
      <c r="D3337" s="25" t="str">
        <f t="shared" si="104"/>
        <v>201907</v>
      </c>
      <c r="E3337" s="22" t="str">
        <f t="shared" ca="1" si="105"/>
        <v>201902</v>
      </c>
      <c r="F3337" s="22">
        <v>2019</v>
      </c>
    </row>
    <row r="3338" spans="1:6" ht="15.75">
      <c r="A3338" s="22" t="s">
        <v>1441</v>
      </c>
      <c r="B3338" s="26">
        <v>43511</v>
      </c>
      <c r="C3338" s="27">
        <v>0</v>
      </c>
      <c r="D3338" s="25" t="str">
        <f t="shared" si="104"/>
        <v>201907</v>
      </c>
      <c r="E3338" s="22" t="str">
        <f t="shared" ca="1" si="105"/>
        <v>201902</v>
      </c>
      <c r="F3338" s="22">
        <v>2019</v>
      </c>
    </row>
    <row r="3339" spans="1:6" ht="15.75">
      <c r="A3339" s="22" t="s">
        <v>1442</v>
      </c>
      <c r="B3339" s="23">
        <v>43512</v>
      </c>
      <c r="C3339" s="24">
        <v>164.29</v>
      </c>
      <c r="D3339" s="25" t="str">
        <f t="shared" si="104"/>
        <v>201907</v>
      </c>
      <c r="E3339" s="22" t="str">
        <f t="shared" ca="1" si="105"/>
        <v>201902</v>
      </c>
      <c r="F3339" s="22">
        <v>2019</v>
      </c>
    </row>
    <row r="3340" spans="1:6" ht="15.75">
      <c r="A3340" s="22" t="s">
        <v>1442</v>
      </c>
      <c r="B3340" s="23">
        <v>43512</v>
      </c>
      <c r="C3340" s="24">
        <v>0</v>
      </c>
      <c r="D3340" s="25" t="str">
        <f t="shared" si="104"/>
        <v>201907</v>
      </c>
      <c r="E3340" s="22" t="str">
        <f t="shared" ca="1" si="105"/>
        <v>201902</v>
      </c>
      <c r="F3340" s="22">
        <v>2019</v>
      </c>
    </row>
    <row r="3341" spans="1:6" ht="15.75">
      <c r="A3341" s="22" t="s">
        <v>1441</v>
      </c>
      <c r="B3341" s="26">
        <v>43512</v>
      </c>
      <c r="C3341" s="27">
        <v>0</v>
      </c>
      <c r="D3341" s="25" t="str">
        <f t="shared" si="104"/>
        <v>201907</v>
      </c>
      <c r="E3341" s="22" t="str">
        <f t="shared" ca="1" si="105"/>
        <v>201902</v>
      </c>
      <c r="F3341" s="22">
        <v>2019</v>
      </c>
    </row>
    <row r="3342" spans="1:6" ht="15.75">
      <c r="A3342" s="22" t="s">
        <v>1442</v>
      </c>
      <c r="B3342" s="23">
        <v>43513</v>
      </c>
      <c r="C3342" s="24">
        <v>299.16000000000003</v>
      </c>
      <c r="D3342" s="25" t="str">
        <f t="shared" si="104"/>
        <v>201907</v>
      </c>
      <c r="E3342" s="22" t="str">
        <f t="shared" ca="1" si="105"/>
        <v>201902</v>
      </c>
      <c r="F3342" s="22">
        <v>2019</v>
      </c>
    </row>
    <row r="3343" spans="1:6" ht="15.75">
      <c r="A3343" s="22" t="s">
        <v>1442</v>
      </c>
      <c r="B3343" s="23">
        <v>43513</v>
      </c>
      <c r="C3343" s="24">
        <v>0</v>
      </c>
      <c r="D3343" s="25" t="str">
        <f t="shared" si="104"/>
        <v>201907</v>
      </c>
      <c r="E3343" s="22" t="str">
        <f t="shared" ca="1" si="105"/>
        <v>201902</v>
      </c>
      <c r="F3343" s="22">
        <v>2019</v>
      </c>
    </row>
    <row r="3344" spans="1:6" ht="15.75">
      <c r="A3344" s="22" t="s">
        <v>1441</v>
      </c>
      <c r="B3344" s="26">
        <v>43513</v>
      </c>
      <c r="C3344" s="27">
        <v>0</v>
      </c>
      <c r="D3344" s="25" t="str">
        <f t="shared" si="104"/>
        <v>201907</v>
      </c>
      <c r="E3344" s="22" t="str">
        <f t="shared" ca="1" si="105"/>
        <v>201902</v>
      </c>
      <c r="F3344" s="22">
        <v>2019</v>
      </c>
    </row>
    <row r="3345" spans="1:6" ht="15.75">
      <c r="A3345" s="22" t="s">
        <v>1442</v>
      </c>
      <c r="B3345" s="23">
        <v>43514</v>
      </c>
      <c r="C3345" s="24">
        <v>157.80000000000001</v>
      </c>
      <c r="D3345" s="25" t="str">
        <f t="shared" si="104"/>
        <v>201908</v>
      </c>
      <c r="E3345" s="22" t="str">
        <f t="shared" ca="1" si="105"/>
        <v>201902</v>
      </c>
      <c r="F3345" s="22">
        <v>2019</v>
      </c>
    </row>
    <row r="3346" spans="1:6" ht="15.75">
      <c r="A3346" s="22" t="s">
        <v>1442</v>
      </c>
      <c r="B3346" s="23">
        <v>43514</v>
      </c>
      <c r="C3346" s="24">
        <v>0.36</v>
      </c>
      <c r="D3346" s="25" t="str">
        <f t="shared" si="104"/>
        <v>201908</v>
      </c>
      <c r="E3346" s="22" t="str">
        <f t="shared" ca="1" si="105"/>
        <v>201902</v>
      </c>
      <c r="F3346" s="22">
        <v>2019</v>
      </c>
    </row>
    <row r="3347" spans="1:6" ht="15.75">
      <c r="A3347" s="22" t="s">
        <v>1441</v>
      </c>
      <c r="B3347" s="26">
        <v>43514</v>
      </c>
      <c r="C3347" s="27">
        <v>0</v>
      </c>
      <c r="D3347" s="25" t="str">
        <f t="shared" si="104"/>
        <v>201908</v>
      </c>
      <c r="E3347" s="22" t="str">
        <f t="shared" ca="1" si="105"/>
        <v>201902</v>
      </c>
      <c r="F3347" s="22">
        <v>2019</v>
      </c>
    </row>
    <row r="3348" spans="1:6" ht="15.75">
      <c r="A3348" s="22" t="s">
        <v>1442</v>
      </c>
      <c r="B3348" s="23">
        <v>43515</v>
      </c>
      <c r="C3348" s="24">
        <v>139.84</v>
      </c>
      <c r="D3348" s="25" t="str">
        <f t="shared" si="104"/>
        <v>201908</v>
      </c>
      <c r="E3348" s="22" t="str">
        <f t="shared" ca="1" si="105"/>
        <v>201902</v>
      </c>
      <c r="F3348" s="22">
        <v>2019</v>
      </c>
    </row>
    <row r="3349" spans="1:6" ht="15.75">
      <c r="A3349" s="22" t="s">
        <v>1442</v>
      </c>
      <c r="B3349" s="23">
        <v>43515</v>
      </c>
      <c r="C3349" s="24">
        <v>0.76</v>
      </c>
      <c r="D3349" s="25" t="str">
        <f t="shared" si="104"/>
        <v>201908</v>
      </c>
      <c r="E3349" s="22" t="str">
        <f t="shared" ca="1" si="105"/>
        <v>201902</v>
      </c>
      <c r="F3349" s="22">
        <v>2019</v>
      </c>
    </row>
    <row r="3350" spans="1:6" ht="15.75">
      <c r="A3350" s="22" t="s">
        <v>1441</v>
      </c>
      <c r="B3350" s="26">
        <v>43515</v>
      </c>
      <c r="C3350" s="27">
        <v>0</v>
      </c>
      <c r="D3350" s="25" t="str">
        <f t="shared" si="104"/>
        <v>201908</v>
      </c>
      <c r="E3350" s="22" t="str">
        <f t="shared" ca="1" si="105"/>
        <v>201902</v>
      </c>
      <c r="F3350" s="22">
        <v>2019</v>
      </c>
    </row>
    <row r="3351" spans="1:6" ht="15.75">
      <c r="A3351" s="22" t="s">
        <v>1442</v>
      </c>
      <c r="B3351" s="23">
        <v>43516</v>
      </c>
      <c r="C3351" s="24">
        <v>162.06</v>
      </c>
      <c r="D3351" s="25" t="str">
        <f t="shared" si="104"/>
        <v>201908</v>
      </c>
      <c r="E3351" s="22" t="str">
        <f t="shared" ca="1" si="105"/>
        <v>201902</v>
      </c>
      <c r="F3351" s="22">
        <v>2019</v>
      </c>
    </row>
    <row r="3352" spans="1:6" ht="15.75">
      <c r="A3352" s="22" t="s">
        <v>1442</v>
      </c>
      <c r="B3352" s="23">
        <v>43516</v>
      </c>
      <c r="C3352" s="24">
        <v>0.75</v>
      </c>
      <c r="D3352" s="25" t="str">
        <f t="shared" si="104"/>
        <v>201908</v>
      </c>
      <c r="E3352" s="22" t="str">
        <f t="shared" ca="1" si="105"/>
        <v>201902</v>
      </c>
      <c r="F3352" s="22">
        <v>2019</v>
      </c>
    </row>
    <row r="3353" spans="1:6" ht="15.75">
      <c r="A3353" s="22" t="s">
        <v>1441</v>
      </c>
      <c r="B3353" s="26">
        <v>43516</v>
      </c>
      <c r="C3353" s="27">
        <v>0</v>
      </c>
      <c r="D3353" s="25" t="str">
        <f t="shared" si="104"/>
        <v>201908</v>
      </c>
      <c r="E3353" s="22" t="str">
        <f t="shared" ca="1" si="105"/>
        <v>201902</v>
      </c>
      <c r="F3353" s="22">
        <v>2019</v>
      </c>
    </row>
    <row r="3354" spans="1:6" ht="15.75">
      <c r="A3354" s="22" t="s">
        <v>1442</v>
      </c>
      <c r="B3354" s="23">
        <v>43517</v>
      </c>
      <c r="C3354" s="24">
        <v>111.57</v>
      </c>
      <c r="D3354" s="25" t="str">
        <f t="shared" si="104"/>
        <v>201908</v>
      </c>
      <c r="E3354" s="22" t="str">
        <f t="shared" ca="1" si="105"/>
        <v>201902</v>
      </c>
      <c r="F3354" s="22">
        <v>2019</v>
      </c>
    </row>
    <row r="3355" spans="1:6" ht="15.75">
      <c r="A3355" s="22" t="s">
        <v>1442</v>
      </c>
      <c r="B3355" s="23">
        <v>43517</v>
      </c>
      <c r="C3355" s="24">
        <v>0</v>
      </c>
      <c r="D3355" s="25" t="str">
        <f t="shared" si="104"/>
        <v>201908</v>
      </c>
      <c r="E3355" s="22" t="str">
        <f t="shared" ca="1" si="105"/>
        <v>201902</v>
      </c>
      <c r="F3355" s="22">
        <v>2019</v>
      </c>
    </row>
    <row r="3356" spans="1:6" ht="15.75">
      <c r="A3356" s="22" t="s">
        <v>1441</v>
      </c>
      <c r="B3356" s="26">
        <v>43517</v>
      </c>
      <c r="C3356" s="27">
        <v>0</v>
      </c>
      <c r="D3356" s="25" t="str">
        <f t="shared" si="104"/>
        <v>201908</v>
      </c>
      <c r="E3356" s="22" t="str">
        <f t="shared" ca="1" si="105"/>
        <v>201902</v>
      </c>
      <c r="F3356" s="22">
        <v>2019</v>
      </c>
    </row>
    <row r="3357" spans="1:6" ht="15.75">
      <c r="A3357" s="22" t="s">
        <v>1442</v>
      </c>
      <c r="B3357" s="23">
        <v>43518</v>
      </c>
      <c r="C3357" s="24">
        <v>84.86</v>
      </c>
      <c r="D3357" s="25" t="str">
        <f t="shared" si="104"/>
        <v>201908</v>
      </c>
      <c r="E3357" s="22" t="str">
        <f t="shared" ca="1" si="105"/>
        <v>201902</v>
      </c>
      <c r="F3357" s="22">
        <v>2019</v>
      </c>
    </row>
    <row r="3358" spans="1:6" ht="15.75">
      <c r="A3358" s="22" t="s">
        <v>1442</v>
      </c>
      <c r="B3358" s="23">
        <v>43518</v>
      </c>
      <c r="C3358" s="24">
        <v>0</v>
      </c>
      <c r="D3358" s="25" t="str">
        <f t="shared" si="104"/>
        <v>201908</v>
      </c>
      <c r="E3358" s="22" t="str">
        <f t="shared" ca="1" si="105"/>
        <v>201902</v>
      </c>
      <c r="F3358" s="22">
        <v>2019</v>
      </c>
    </row>
    <row r="3359" spans="1:6" ht="15.75">
      <c r="A3359" s="22" t="s">
        <v>1441</v>
      </c>
      <c r="B3359" s="26">
        <v>43518</v>
      </c>
      <c r="C3359" s="27">
        <v>0</v>
      </c>
      <c r="D3359" s="25" t="str">
        <f t="shared" si="104"/>
        <v>201908</v>
      </c>
      <c r="E3359" s="22" t="str">
        <f t="shared" ca="1" si="105"/>
        <v>201902</v>
      </c>
      <c r="F3359" s="22">
        <v>2019</v>
      </c>
    </row>
    <row r="3360" spans="1:6" ht="15.75">
      <c r="A3360" s="22" t="s">
        <v>1442</v>
      </c>
      <c r="B3360" s="23">
        <v>43519</v>
      </c>
      <c r="C3360" s="24">
        <v>72.52</v>
      </c>
      <c r="D3360" s="25" t="str">
        <f t="shared" si="104"/>
        <v>201908</v>
      </c>
      <c r="E3360" s="22" t="str">
        <f t="shared" ca="1" si="105"/>
        <v>201902</v>
      </c>
      <c r="F3360" s="22">
        <v>2019</v>
      </c>
    </row>
    <row r="3361" spans="1:6" ht="15.75">
      <c r="A3361" s="22" t="s">
        <v>1442</v>
      </c>
      <c r="B3361" s="23">
        <v>43519</v>
      </c>
      <c r="C3361" s="24">
        <v>0</v>
      </c>
      <c r="D3361" s="25" t="str">
        <f t="shared" si="104"/>
        <v>201908</v>
      </c>
      <c r="E3361" s="22" t="str">
        <f t="shared" ca="1" si="105"/>
        <v>201902</v>
      </c>
      <c r="F3361" s="22">
        <v>2019</v>
      </c>
    </row>
    <row r="3362" spans="1:6" ht="15.75">
      <c r="A3362" s="22" t="s">
        <v>1441</v>
      </c>
      <c r="B3362" s="26">
        <v>43519</v>
      </c>
      <c r="C3362" s="27">
        <v>0</v>
      </c>
      <c r="D3362" s="25" t="str">
        <f t="shared" si="104"/>
        <v>201908</v>
      </c>
      <c r="E3362" s="22" t="str">
        <f t="shared" ca="1" si="105"/>
        <v>201902</v>
      </c>
      <c r="F3362" s="22">
        <v>2019</v>
      </c>
    </row>
    <row r="3363" spans="1:6" ht="15.75">
      <c r="A3363" s="22" t="s">
        <v>1442</v>
      </c>
      <c r="B3363" s="23">
        <v>43520</v>
      </c>
      <c r="C3363" s="24">
        <v>154.32</v>
      </c>
      <c r="D3363" s="25" t="str">
        <f t="shared" si="104"/>
        <v>201908</v>
      </c>
      <c r="E3363" s="22" t="str">
        <f t="shared" ca="1" si="105"/>
        <v>201902</v>
      </c>
      <c r="F3363" s="22">
        <v>2019</v>
      </c>
    </row>
    <row r="3364" spans="1:6" ht="15.75">
      <c r="A3364" s="22" t="s">
        <v>1442</v>
      </c>
      <c r="B3364" s="23">
        <v>43520</v>
      </c>
      <c r="C3364" s="24">
        <v>0</v>
      </c>
      <c r="D3364" s="25" t="str">
        <f t="shared" si="104"/>
        <v>201908</v>
      </c>
      <c r="E3364" s="22" t="str">
        <f t="shared" ca="1" si="105"/>
        <v>201902</v>
      </c>
      <c r="F3364" s="22">
        <v>2019</v>
      </c>
    </row>
    <row r="3365" spans="1:6" ht="15.75">
      <c r="A3365" s="22" t="s">
        <v>1441</v>
      </c>
      <c r="B3365" s="26">
        <v>43520</v>
      </c>
      <c r="C3365" s="27">
        <v>0</v>
      </c>
      <c r="D3365" s="25" t="str">
        <f t="shared" si="104"/>
        <v>201908</v>
      </c>
      <c r="E3365" s="22" t="str">
        <f t="shared" ca="1" si="105"/>
        <v>201902</v>
      </c>
      <c r="F3365" s="22">
        <v>2019</v>
      </c>
    </row>
    <row r="3366" spans="1:6" ht="15.75">
      <c r="A3366" s="22" t="s">
        <v>1442</v>
      </c>
      <c r="B3366" s="23">
        <v>43521</v>
      </c>
      <c r="C3366" s="24">
        <v>110.94</v>
      </c>
      <c r="D3366" s="25" t="str">
        <f t="shared" si="104"/>
        <v>201909</v>
      </c>
      <c r="E3366" s="22" t="str">
        <f t="shared" ca="1" si="105"/>
        <v>201902</v>
      </c>
      <c r="F3366" s="22">
        <v>2019</v>
      </c>
    </row>
    <row r="3367" spans="1:6" ht="15.75">
      <c r="A3367" s="22" t="s">
        <v>1442</v>
      </c>
      <c r="B3367" s="23">
        <v>43521</v>
      </c>
      <c r="C3367" s="24">
        <v>0.72</v>
      </c>
      <c r="D3367" s="25" t="str">
        <f t="shared" si="104"/>
        <v>201909</v>
      </c>
      <c r="E3367" s="22" t="str">
        <f t="shared" ca="1" si="105"/>
        <v>201902</v>
      </c>
      <c r="F3367" s="22">
        <v>2019</v>
      </c>
    </row>
    <row r="3368" spans="1:6" ht="15.75">
      <c r="A3368" s="22" t="s">
        <v>1441</v>
      </c>
      <c r="B3368" s="26">
        <v>43521</v>
      </c>
      <c r="C3368" s="27">
        <v>0</v>
      </c>
      <c r="D3368" s="25" t="str">
        <f t="shared" si="104"/>
        <v>201909</v>
      </c>
      <c r="E3368" s="22" t="str">
        <f t="shared" ca="1" si="105"/>
        <v>201902</v>
      </c>
      <c r="F3368" s="22">
        <v>2019</v>
      </c>
    </row>
    <row r="3369" spans="1:6" ht="15.75">
      <c r="A3369" s="22" t="s">
        <v>1442</v>
      </c>
      <c r="B3369" s="23">
        <v>43522</v>
      </c>
      <c r="C3369" s="24">
        <v>106.26</v>
      </c>
      <c r="D3369" s="25" t="str">
        <f t="shared" si="104"/>
        <v>201909</v>
      </c>
      <c r="E3369" s="22" t="str">
        <f t="shared" ca="1" si="105"/>
        <v>201902</v>
      </c>
      <c r="F3369" s="22">
        <v>2019</v>
      </c>
    </row>
    <row r="3370" spans="1:6" ht="15.75">
      <c r="A3370" s="22" t="s">
        <v>1442</v>
      </c>
      <c r="B3370" s="23">
        <v>43522</v>
      </c>
      <c r="C3370" s="24">
        <v>0.75</v>
      </c>
      <c r="D3370" s="25" t="str">
        <f t="shared" si="104"/>
        <v>201909</v>
      </c>
      <c r="E3370" s="22" t="str">
        <f t="shared" ca="1" si="105"/>
        <v>201902</v>
      </c>
      <c r="F3370" s="22">
        <v>2019</v>
      </c>
    </row>
    <row r="3371" spans="1:6" ht="15.75">
      <c r="A3371" s="22" t="s">
        <v>1441</v>
      </c>
      <c r="B3371" s="26">
        <v>43522</v>
      </c>
      <c r="C3371" s="27">
        <v>0</v>
      </c>
      <c r="D3371" s="25" t="str">
        <f t="shared" si="104"/>
        <v>201909</v>
      </c>
      <c r="E3371" s="22" t="str">
        <f t="shared" ca="1" si="105"/>
        <v>201902</v>
      </c>
      <c r="F3371" s="22">
        <v>2019</v>
      </c>
    </row>
    <row r="3372" spans="1:6" ht="15.75">
      <c r="A3372" s="22" t="s">
        <v>1442</v>
      </c>
      <c r="B3372" s="23">
        <v>43523</v>
      </c>
      <c r="C3372" s="24">
        <v>124.05</v>
      </c>
      <c r="D3372" s="25" t="str">
        <f t="shared" si="104"/>
        <v>201909</v>
      </c>
      <c r="E3372" s="22" t="str">
        <f t="shared" ca="1" si="105"/>
        <v>201902</v>
      </c>
      <c r="F3372" s="22">
        <v>2019</v>
      </c>
    </row>
    <row r="3373" spans="1:6" ht="15.75">
      <c r="A3373" s="22" t="s">
        <v>1442</v>
      </c>
      <c r="B3373" s="23">
        <v>43523</v>
      </c>
      <c r="C3373" s="24">
        <v>0</v>
      </c>
      <c r="D3373" s="25" t="str">
        <f t="shared" si="104"/>
        <v>201909</v>
      </c>
      <c r="E3373" s="22" t="str">
        <f t="shared" ca="1" si="105"/>
        <v>201902</v>
      </c>
      <c r="F3373" s="22">
        <v>2019</v>
      </c>
    </row>
    <row r="3374" spans="1:6" ht="15.75">
      <c r="A3374" s="22" t="s">
        <v>1441</v>
      </c>
      <c r="B3374" s="26">
        <v>43523</v>
      </c>
      <c r="C3374" s="27">
        <v>0</v>
      </c>
      <c r="D3374" s="25" t="str">
        <f t="shared" si="104"/>
        <v>201909</v>
      </c>
      <c r="E3374" s="22" t="str">
        <f t="shared" ca="1" si="105"/>
        <v>201902</v>
      </c>
      <c r="F3374" s="22">
        <v>2019</v>
      </c>
    </row>
    <row r="3375" spans="1:6" ht="15.75">
      <c r="A3375" s="22" t="s">
        <v>1442</v>
      </c>
      <c r="B3375" s="23">
        <v>43524</v>
      </c>
      <c r="C3375" s="24">
        <v>69.52</v>
      </c>
      <c r="D3375" s="25" t="str">
        <f t="shared" si="104"/>
        <v>201909</v>
      </c>
      <c r="E3375" s="22" t="str">
        <f t="shared" ca="1" si="105"/>
        <v>201902</v>
      </c>
      <c r="F3375" s="22">
        <v>2019</v>
      </c>
    </row>
    <row r="3376" spans="1:6" ht="15.75">
      <c r="A3376" s="22" t="s">
        <v>1442</v>
      </c>
      <c r="B3376" s="23">
        <v>43524</v>
      </c>
      <c r="C3376" s="24">
        <v>1.1299999999999999</v>
      </c>
      <c r="D3376" s="25" t="str">
        <f t="shared" si="104"/>
        <v>201909</v>
      </c>
      <c r="E3376" s="22" t="str">
        <f t="shared" ca="1" si="105"/>
        <v>201902</v>
      </c>
      <c r="F3376" s="22">
        <v>2019</v>
      </c>
    </row>
    <row r="3377" spans="1:6" ht="15.75">
      <c r="A3377" s="22" t="s">
        <v>1441</v>
      </c>
      <c r="B3377" s="26">
        <v>43524</v>
      </c>
      <c r="C3377" s="27">
        <v>0</v>
      </c>
      <c r="D3377" s="25" t="str">
        <f t="shared" si="104"/>
        <v>201909</v>
      </c>
      <c r="E3377" s="22" t="str">
        <f t="shared" ca="1" si="105"/>
        <v>201902</v>
      </c>
      <c r="F3377" s="22">
        <v>2019</v>
      </c>
    </row>
    <row r="3378" spans="1:6" ht="15.75">
      <c r="A3378" s="22" t="s">
        <v>1442</v>
      </c>
      <c r="B3378" s="23">
        <v>43525</v>
      </c>
      <c r="C3378" s="24">
        <v>80.3</v>
      </c>
      <c r="D3378" s="25" t="str">
        <f t="shared" si="104"/>
        <v>201909</v>
      </c>
      <c r="E3378" s="22" t="str">
        <f t="shared" ca="1" si="105"/>
        <v>201903</v>
      </c>
      <c r="F3378" s="22">
        <v>2019</v>
      </c>
    </row>
    <row r="3379" spans="1:6" ht="15.75">
      <c r="A3379" s="22" t="s">
        <v>1442</v>
      </c>
      <c r="B3379" s="23">
        <v>43525</v>
      </c>
      <c r="C3379" s="24">
        <v>0.2</v>
      </c>
      <c r="D3379" s="25" t="str">
        <f t="shared" si="104"/>
        <v>201909</v>
      </c>
      <c r="E3379" s="22" t="str">
        <f t="shared" ca="1" si="105"/>
        <v>201903</v>
      </c>
      <c r="F3379" s="22">
        <v>2019</v>
      </c>
    </row>
    <row r="3380" spans="1:6" ht="15.75">
      <c r="A3380" s="22" t="s">
        <v>1443</v>
      </c>
      <c r="B3380" s="20">
        <v>43525</v>
      </c>
      <c r="C3380" s="21">
        <v>0</v>
      </c>
      <c r="D3380" s="25" t="str">
        <f t="shared" si="104"/>
        <v>201909</v>
      </c>
      <c r="E3380" s="22" t="str">
        <f t="shared" ca="1" si="105"/>
        <v>201903</v>
      </c>
      <c r="F3380" s="22">
        <v>2019</v>
      </c>
    </row>
    <row r="3381" spans="1:6" ht="15.75">
      <c r="A3381" s="22" t="s">
        <v>1441</v>
      </c>
      <c r="B3381" s="26">
        <v>43525</v>
      </c>
      <c r="C3381" s="27">
        <v>0</v>
      </c>
      <c r="D3381" s="25" t="str">
        <f t="shared" si="104"/>
        <v>201909</v>
      </c>
      <c r="E3381" s="22" t="str">
        <f t="shared" ca="1" si="105"/>
        <v>201903</v>
      </c>
      <c r="F3381" s="22">
        <v>2019</v>
      </c>
    </row>
    <row r="3382" spans="1:6" ht="15.75">
      <c r="A3382" s="22" t="s">
        <v>1442</v>
      </c>
      <c r="B3382" s="23">
        <v>43526</v>
      </c>
      <c r="C3382" s="24">
        <v>77.72</v>
      </c>
      <c r="D3382" s="25" t="str">
        <f t="shared" si="104"/>
        <v>201909</v>
      </c>
      <c r="E3382" s="22" t="str">
        <f t="shared" ca="1" si="105"/>
        <v>201903</v>
      </c>
      <c r="F3382" s="22">
        <v>2019</v>
      </c>
    </row>
    <row r="3383" spans="1:6" ht="15.75">
      <c r="A3383" s="22" t="s">
        <v>1442</v>
      </c>
      <c r="B3383" s="23">
        <v>43526</v>
      </c>
      <c r="C3383" s="24">
        <v>0</v>
      </c>
      <c r="D3383" s="25" t="str">
        <f t="shared" si="104"/>
        <v>201909</v>
      </c>
      <c r="E3383" s="22" t="str">
        <f t="shared" ca="1" si="105"/>
        <v>201903</v>
      </c>
      <c r="F3383" s="22">
        <v>2019</v>
      </c>
    </row>
    <row r="3384" spans="1:6" ht="15.75">
      <c r="A3384" s="22" t="s">
        <v>1443</v>
      </c>
      <c r="B3384" s="20">
        <v>43526</v>
      </c>
      <c r="C3384" s="21">
        <v>0</v>
      </c>
      <c r="D3384" s="25" t="str">
        <f t="shared" si="104"/>
        <v>201909</v>
      </c>
      <c r="E3384" s="22" t="str">
        <f t="shared" ca="1" si="105"/>
        <v>201903</v>
      </c>
      <c r="F3384" s="22">
        <v>2019</v>
      </c>
    </row>
    <row r="3385" spans="1:6" ht="15.75">
      <c r="A3385" s="22" t="s">
        <v>1441</v>
      </c>
      <c r="B3385" s="26">
        <v>43526</v>
      </c>
      <c r="C3385" s="27">
        <v>0</v>
      </c>
      <c r="D3385" s="25" t="str">
        <f t="shared" si="104"/>
        <v>201909</v>
      </c>
      <c r="E3385" s="22" t="str">
        <f t="shared" ca="1" si="105"/>
        <v>201903</v>
      </c>
      <c r="F3385" s="22">
        <v>2019</v>
      </c>
    </row>
    <row r="3386" spans="1:6" ht="15.75">
      <c r="A3386" s="22" t="s">
        <v>1442</v>
      </c>
      <c r="B3386" s="23">
        <v>43527</v>
      </c>
      <c r="C3386" s="24">
        <v>154.83000000000001</v>
      </c>
      <c r="D3386" s="25" t="str">
        <f t="shared" si="104"/>
        <v>201909</v>
      </c>
      <c r="E3386" s="22" t="str">
        <f t="shared" ca="1" si="105"/>
        <v>201903</v>
      </c>
      <c r="F3386" s="22">
        <v>2019</v>
      </c>
    </row>
    <row r="3387" spans="1:6" ht="15.75">
      <c r="A3387" s="22" t="s">
        <v>1442</v>
      </c>
      <c r="B3387" s="23">
        <v>43527</v>
      </c>
      <c r="C3387" s="24">
        <v>0.69</v>
      </c>
      <c r="D3387" s="25" t="str">
        <f t="shared" si="104"/>
        <v>201909</v>
      </c>
      <c r="E3387" s="22" t="str">
        <f t="shared" ca="1" si="105"/>
        <v>201903</v>
      </c>
      <c r="F3387" s="22">
        <v>2019</v>
      </c>
    </row>
    <row r="3388" spans="1:6" ht="15.75">
      <c r="A3388" s="22" t="s">
        <v>1443</v>
      </c>
      <c r="B3388" s="20">
        <v>43527</v>
      </c>
      <c r="C3388" s="21">
        <v>0</v>
      </c>
      <c r="D3388" s="25" t="str">
        <f t="shared" si="104"/>
        <v>201909</v>
      </c>
      <c r="E3388" s="22" t="str">
        <f t="shared" ca="1" si="105"/>
        <v>201903</v>
      </c>
      <c r="F3388" s="22">
        <v>2019</v>
      </c>
    </row>
    <row r="3389" spans="1:6" ht="15.75">
      <c r="A3389" s="22" t="s">
        <v>1441</v>
      </c>
      <c r="B3389" s="26">
        <v>43527</v>
      </c>
      <c r="C3389" s="27">
        <v>0</v>
      </c>
      <c r="D3389" s="25" t="str">
        <f t="shared" si="104"/>
        <v>201909</v>
      </c>
      <c r="E3389" s="22" t="str">
        <f t="shared" ca="1" si="105"/>
        <v>201903</v>
      </c>
      <c r="F3389" s="22">
        <v>2019</v>
      </c>
    </row>
    <row r="3390" spans="1:6" ht="15.75">
      <c r="A3390" s="22" t="s">
        <v>1442</v>
      </c>
      <c r="B3390" s="23">
        <v>43528</v>
      </c>
      <c r="C3390" s="24">
        <v>84.26</v>
      </c>
      <c r="D3390" s="25" t="str">
        <f t="shared" si="104"/>
        <v>201910</v>
      </c>
      <c r="E3390" s="22" t="str">
        <f t="shared" ca="1" si="105"/>
        <v>201903</v>
      </c>
      <c r="F3390" s="22">
        <v>2019</v>
      </c>
    </row>
    <row r="3391" spans="1:6" ht="15.75">
      <c r="A3391" s="22" t="s">
        <v>1442</v>
      </c>
      <c r="B3391" s="23">
        <v>43528</v>
      </c>
      <c r="C3391" s="24">
        <v>0</v>
      </c>
      <c r="D3391" s="25" t="str">
        <f t="shared" si="104"/>
        <v>201910</v>
      </c>
      <c r="E3391" s="22" t="str">
        <f t="shared" ca="1" si="105"/>
        <v>201903</v>
      </c>
      <c r="F3391" s="22">
        <v>2019</v>
      </c>
    </row>
    <row r="3392" spans="1:6" ht="15.75">
      <c r="A3392" s="22" t="s">
        <v>1443</v>
      </c>
      <c r="B3392" s="20">
        <v>43528</v>
      </c>
      <c r="C3392" s="21">
        <v>0</v>
      </c>
      <c r="D3392" s="25" t="str">
        <f t="shared" si="104"/>
        <v>201910</v>
      </c>
      <c r="E3392" s="22" t="str">
        <f t="shared" ca="1" si="105"/>
        <v>201903</v>
      </c>
      <c r="F3392" s="22">
        <v>2019</v>
      </c>
    </row>
    <row r="3393" spans="1:6" ht="15.75">
      <c r="A3393" s="22" t="s">
        <v>1441</v>
      </c>
      <c r="B3393" s="26">
        <v>43528</v>
      </c>
      <c r="C3393" s="27">
        <v>0</v>
      </c>
      <c r="D3393" s="25" t="str">
        <f t="shared" si="104"/>
        <v>201910</v>
      </c>
      <c r="E3393" s="22" t="str">
        <f t="shared" ca="1" si="105"/>
        <v>201903</v>
      </c>
      <c r="F3393" s="22">
        <v>2019</v>
      </c>
    </row>
    <row r="3394" spans="1:6" ht="15.75">
      <c r="A3394" s="22" t="s">
        <v>1442</v>
      </c>
      <c r="B3394" s="23">
        <v>43529</v>
      </c>
      <c r="C3394" s="24">
        <v>41.24</v>
      </c>
      <c r="D3394" s="25" t="str">
        <f t="shared" si="104"/>
        <v>201910</v>
      </c>
      <c r="E3394" s="22" t="str">
        <f t="shared" ca="1" si="105"/>
        <v>201903</v>
      </c>
      <c r="F3394" s="22">
        <v>2019</v>
      </c>
    </row>
    <row r="3395" spans="1:6" ht="15.75">
      <c r="A3395" s="22" t="s">
        <v>1442</v>
      </c>
      <c r="B3395" s="23">
        <v>43529</v>
      </c>
      <c r="C3395" s="24">
        <v>0.76</v>
      </c>
      <c r="D3395" s="25" t="str">
        <f t="shared" ref="D3395:D3458" si="106">CONCATENATE(YEAR(B3395-WEEKDAY(B3395,3)+3),TEXT(WEEKNUM(B3395,21),"00"))</f>
        <v>201910</v>
      </c>
      <c r="E3395" s="22" t="str">
        <f t="shared" ref="E3395:E3458" ca="1" si="107">IF(
  AND(
    YEAR(B3395)=YEAR(TODAY())-1,
    MONTH(B3395)=MONTH(TODAY()),
    DAY(B3395)&gt;DAY($H$2)
  ),
  0,
  CONCATENATE(YEAR(B3395),TEXT(MONTH(B3395),"00"))
)</f>
        <v>201903</v>
      </c>
      <c r="F3395" s="22">
        <v>2019</v>
      </c>
    </row>
    <row r="3396" spans="1:6" ht="15.75">
      <c r="A3396" s="22" t="s">
        <v>1443</v>
      </c>
      <c r="B3396" s="20">
        <v>43529</v>
      </c>
      <c r="C3396" s="21">
        <v>0</v>
      </c>
      <c r="D3396" s="25" t="str">
        <f t="shared" si="106"/>
        <v>201910</v>
      </c>
      <c r="E3396" s="22" t="str">
        <f t="shared" ca="1" si="107"/>
        <v>201903</v>
      </c>
      <c r="F3396" s="22">
        <v>2019</v>
      </c>
    </row>
    <row r="3397" spans="1:6" ht="15.75">
      <c r="A3397" s="22" t="s">
        <v>1441</v>
      </c>
      <c r="B3397" s="26">
        <v>43529</v>
      </c>
      <c r="C3397" s="27">
        <v>0</v>
      </c>
      <c r="D3397" s="25" t="str">
        <f t="shared" si="106"/>
        <v>201910</v>
      </c>
      <c r="E3397" s="22" t="str">
        <f t="shared" ca="1" si="107"/>
        <v>201903</v>
      </c>
      <c r="F3397" s="22">
        <v>2019</v>
      </c>
    </row>
    <row r="3398" spans="1:6" ht="15.75">
      <c r="A3398" s="22" t="s">
        <v>1442</v>
      </c>
      <c r="B3398" s="23">
        <v>43530</v>
      </c>
      <c r="C3398" s="24">
        <v>44.86</v>
      </c>
      <c r="D3398" s="25" t="str">
        <f t="shared" si="106"/>
        <v>201910</v>
      </c>
      <c r="E3398" s="22" t="str">
        <f t="shared" ca="1" si="107"/>
        <v>201903</v>
      </c>
      <c r="F3398" s="22">
        <v>2019</v>
      </c>
    </row>
    <row r="3399" spans="1:6" ht="15.75">
      <c r="A3399" s="22" t="s">
        <v>1442</v>
      </c>
      <c r="B3399" s="23">
        <v>43530</v>
      </c>
      <c r="C3399" s="24">
        <v>0.36</v>
      </c>
      <c r="D3399" s="25" t="str">
        <f t="shared" si="106"/>
        <v>201910</v>
      </c>
      <c r="E3399" s="22" t="str">
        <f t="shared" ca="1" si="107"/>
        <v>201903</v>
      </c>
      <c r="F3399" s="22">
        <v>2019</v>
      </c>
    </row>
    <row r="3400" spans="1:6" ht="15.75">
      <c r="A3400" s="22" t="s">
        <v>1443</v>
      </c>
      <c r="B3400" s="20">
        <v>43530</v>
      </c>
      <c r="C3400" s="21">
        <v>0</v>
      </c>
      <c r="D3400" s="25" t="str">
        <f t="shared" si="106"/>
        <v>201910</v>
      </c>
      <c r="E3400" s="22" t="str">
        <f t="shared" ca="1" si="107"/>
        <v>201903</v>
      </c>
      <c r="F3400" s="22">
        <v>2019</v>
      </c>
    </row>
    <row r="3401" spans="1:6" ht="15.75">
      <c r="A3401" s="22" t="s">
        <v>1441</v>
      </c>
      <c r="B3401" s="26">
        <v>43530</v>
      </c>
      <c r="C3401" s="27">
        <v>0</v>
      </c>
      <c r="D3401" s="25" t="str">
        <f t="shared" si="106"/>
        <v>201910</v>
      </c>
      <c r="E3401" s="22" t="str">
        <f t="shared" ca="1" si="107"/>
        <v>201903</v>
      </c>
      <c r="F3401" s="22">
        <v>2019</v>
      </c>
    </row>
    <row r="3402" spans="1:6" ht="15.75">
      <c r="A3402" s="22" t="s">
        <v>1442</v>
      </c>
      <c r="B3402" s="23">
        <v>43531</v>
      </c>
      <c r="C3402" s="24">
        <v>26.51</v>
      </c>
      <c r="D3402" s="25" t="str">
        <f t="shared" si="106"/>
        <v>201910</v>
      </c>
      <c r="E3402" s="22" t="str">
        <f t="shared" ca="1" si="107"/>
        <v>201903</v>
      </c>
      <c r="F3402" s="22">
        <v>2019</v>
      </c>
    </row>
    <row r="3403" spans="1:6" ht="15.75">
      <c r="A3403" s="22" t="s">
        <v>1442</v>
      </c>
      <c r="B3403" s="23">
        <v>43531</v>
      </c>
      <c r="C3403" s="24">
        <v>0.38</v>
      </c>
      <c r="D3403" s="25" t="str">
        <f t="shared" si="106"/>
        <v>201910</v>
      </c>
      <c r="E3403" s="22" t="str">
        <f t="shared" ca="1" si="107"/>
        <v>201903</v>
      </c>
      <c r="F3403" s="22">
        <v>2019</v>
      </c>
    </row>
    <row r="3404" spans="1:6" ht="15.75">
      <c r="A3404" s="22" t="s">
        <v>1443</v>
      </c>
      <c r="B3404" s="20">
        <v>43531</v>
      </c>
      <c r="C3404" s="21">
        <v>0</v>
      </c>
      <c r="D3404" s="25" t="str">
        <f t="shared" si="106"/>
        <v>201910</v>
      </c>
      <c r="E3404" s="22" t="str">
        <f t="shared" ca="1" si="107"/>
        <v>201903</v>
      </c>
      <c r="F3404" s="22">
        <v>2019</v>
      </c>
    </row>
    <row r="3405" spans="1:6" ht="15.75">
      <c r="A3405" s="22" t="s">
        <v>1441</v>
      </c>
      <c r="B3405" s="26">
        <v>43531</v>
      </c>
      <c r="C3405" s="27">
        <v>0</v>
      </c>
      <c r="D3405" s="25" t="str">
        <f t="shared" si="106"/>
        <v>201910</v>
      </c>
      <c r="E3405" s="22" t="str">
        <f t="shared" ca="1" si="107"/>
        <v>201903</v>
      </c>
      <c r="F3405" s="22">
        <v>2019</v>
      </c>
    </row>
    <row r="3406" spans="1:6" ht="15.75">
      <c r="A3406" s="22" t="s">
        <v>1442</v>
      </c>
      <c r="B3406" s="23">
        <v>43532</v>
      </c>
      <c r="C3406" s="24">
        <v>1.1599999999999999</v>
      </c>
      <c r="D3406" s="25" t="str">
        <f t="shared" si="106"/>
        <v>201910</v>
      </c>
      <c r="E3406" s="22" t="str">
        <f t="shared" ca="1" si="107"/>
        <v>201903</v>
      </c>
      <c r="F3406" s="22">
        <v>2019</v>
      </c>
    </row>
    <row r="3407" spans="1:6" ht="15.75">
      <c r="A3407" s="22" t="s">
        <v>1443</v>
      </c>
      <c r="B3407" s="20">
        <v>43532</v>
      </c>
      <c r="C3407" s="21">
        <v>0</v>
      </c>
      <c r="D3407" s="25" t="str">
        <f t="shared" si="106"/>
        <v>201910</v>
      </c>
      <c r="E3407" s="22" t="str">
        <f t="shared" ca="1" si="107"/>
        <v>201903</v>
      </c>
      <c r="F3407" s="22">
        <v>2019</v>
      </c>
    </row>
    <row r="3408" spans="1:6" ht="15.75">
      <c r="A3408" s="22" t="s">
        <v>1441</v>
      </c>
      <c r="B3408" s="26">
        <v>43532</v>
      </c>
      <c r="C3408" s="27">
        <v>0</v>
      </c>
      <c r="D3408" s="25" t="str">
        <f t="shared" si="106"/>
        <v>201910</v>
      </c>
      <c r="E3408" s="22" t="str">
        <f t="shared" ca="1" si="107"/>
        <v>201903</v>
      </c>
      <c r="F3408" s="22">
        <v>2019</v>
      </c>
    </row>
    <row r="3409" spans="1:6" ht="15.75">
      <c r="A3409" s="22" t="s">
        <v>1443</v>
      </c>
      <c r="B3409" s="20">
        <v>43533</v>
      </c>
      <c r="C3409" s="21">
        <v>0</v>
      </c>
      <c r="D3409" s="25" t="str">
        <f t="shared" si="106"/>
        <v>201910</v>
      </c>
      <c r="E3409" s="22" t="str">
        <f t="shared" ca="1" si="107"/>
        <v>201903</v>
      </c>
      <c r="F3409" s="22">
        <v>2019</v>
      </c>
    </row>
    <row r="3410" spans="1:6" ht="15.75">
      <c r="A3410" s="22" t="s">
        <v>1441</v>
      </c>
      <c r="B3410" s="26">
        <v>43533</v>
      </c>
      <c r="C3410" s="27">
        <v>0</v>
      </c>
      <c r="D3410" s="25" t="str">
        <f t="shared" si="106"/>
        <v>201910</v>
      </c>
      <c r="E3410" s="22" t="str">
        <f t="shared" ca="1" si="107"/>
        <v>201903</v>
      </c>
      <c r="F3410" s="22">
        <v>2019</v>
      </c>
    </row>
    <row r="3411" spans="1:6" ht="15.75">
      <c r="A3411" s="22" t="s">
        <v>1443</v>
      </c>
      <c r="B3411" s="20">
        <v>43534</v>
      </c>
      <c r="C3411" s="21">
        <v>0</v>
      </c>
      <c r="D3411" s="25" t="str">
        <f t="shared" si="106"/>
        <v>201910</v>
      </c>
      <c r="E3411" s="22" t="str">
        <f t="shared" ca="1" si="107"/>
        <v>201903</v>
      </c>
      <c r="F3411" s="22">
        <v>2019</v>
      </c>
    </row>
    <row r="3412" spans="1:6" ht="15.75">
      <c r="A3412" s="22" t="s">
        <v>1441</v>
      </c>
      <c r="B3412" s="26">
        <v>43534</v>
      </c>
      <c r="C3412" s="27">
        <v>0</v>
      </c>
      <c r="D3412" s="25" t="str">
        <f t="shared" si="106"/>
        <v>201910</v>
      </c>
      <c r="E3412" s="22" t="str">
        <f t="shared" ca="1" si="107"/>
        <v>201903</v>
      </c>
      <c r="F3412" s="22">
        <v>2019</v>
      </c>
    </row>
    <row r="3413" spans="1:6" ht="15.75">
      <c r="A3413" s="22" t="s">
        <v>1443</v>
      </c>
      <c r="B3413" s="20">
        <v>43535</v>
      </c>
      <c r="C3413" s="21">
        <v>0</v>
      </c>
      <c r="D3413" s="25" t="str">
        <f t="shared" si="106"/>
        <v>201911</v>
      </c>
      <c r="E3413" s="22" t="str">
        <f t="shared" ca="1" si="107"/>
        <v>201903</v>
      </c>
      <c r="F3413" s="22">
        <v>2019</v>
      </c>
    </row>
    <row r="3414" spans="1:6" ht="15.75">
      <c r="A3414" s="22" t="s">
        <v>1441</v>
      </c>
      <c r="B3414" s="26">
        <v>43535</v>
      </c>
      <c r="C3414" s="27">
        <v>0</v>
      </c>
      <c r="D3414" s="25" t="str">
        <f t="shared" si="106"/>
        <v>201911</v>
      </c>
      <c r="E3414" s="22" t="str">
        <f t="shared" ca="1" si="107"/>
        <v>201903</v>
      </c>
      <c r="F3414" s="22">
        <v>2019</v>
      </c>
    </row>
    <row r="3415" spans="1:6" ht="15.75">
      <c r="A3415" s="22" t="s">
        <v>1443</v>
      </c>
      <c r="B3415" s="20">
        <v>43536</v>
      </c>
      <c r="C3415" s="21">
        <v>0</v>
      </c>
      <c r="D3415" s="25" t="str">
        <f t="shared" si="106"/>
        <v>201911</v>
      </c>
      <c r="E3415" s="22" t="str">
        <f t="shared" ca="1" si="107"/>
        <v>201903</v>
      </c>
      <c r="F3415" s="22">
        <v>2019</v>
      </c>
    </row>
    <row r="3416" spans="1:6" ht="15.75">
      <c r="A3416" s="22" t="s">
        <v>1441</v>
      </c>
      <c r="B3416" s="26">
        <v>43536</v>
      </c>
      <c r="C3416" s="27">
        <v>0</v>
      </c>
      <c r="D3416" s="25" t="str">
        <f t="shared" si="106"/>
        <v>201911</v>
      </c>
      <c r="E3416" s="22" t="str">
        <f t="shared" ca="1" si="107"/>
        <v>201903</v>
      </c>
      <c r="F3416" s="22">
        <v>2019</v>
      </c>
    </row>
    <row r="3417" spans="1:6" ht="15.75">
      <c r="A3417" s="22" t="s">
        <v>1443</v>
      </c>
      <c r="B3417" s="20">
        <v>43537</v>
      </c>
      <c r="C3417" s="21">
        <v>0</v>
      </c>
      <c r="D3417" s="25" t="str">
        <f t="shared" si="106"/>
        <v>201911</v>
      </c>
      <c r="E3417" s="22" t="str">
        <f t="shared" ca="1" si="107"/>
        <v>201903</v>
      </c>
      <c r="F3417" s="22">
        <v>2019</v>
      </c>
    </row>
    <row r="3418" spans="1:6" ht="15.75">
      <c r="A3418" s="22" t="s">
        <v>1441</v>
      </c>
      <c r="B3418" s="26">
        <v>43537</v>
      </c>
      <c r="C3418" s="27">
        <v>0</v>
      </c>
      <c r="D3418" s="25" t="str">
        <f t="shared" si="106"/>
        <v>201911</v>
      </c>
      <c r="E3418" s="22" t="str">
        <f t="shared" ca="1" si="107"/>
        <v>201903</v>
      </c>
      <c r="F3418" s="22">
        <v>2019</v>
      </c>
    </row>
    <row r="3419" spans="1:6" ht="15.75">
      <c r="A3419" s="22" t="s">
        <v>1443</v>
      </c>
      <c r="B3419" s="20">
        <v>43538</v>
      </c>
      <c r="C3419" s="21">
        <v>0</v>
      </c>
      <c r="D3419" s="25" t="str">
        <f t="shared" si="106"/>
        <v>201911</v>
      </c>
      <c r="E3419" s="22" t="str">
        <f t="shared" ca="1" si="107"/>
        <v>201903</v>
      </c>
      <c r="F3419" s="22">
        <v>2019</v>
      </c>
    </row>
    <row r="3420" spans="1:6" ht="15.75">
      <c r="A3420" s="22" t="s">
        <v>1441</v>
      </c>
      <c r="B3420" s="26">
        <v>43538</v>
      </c>
      <c r="C3420" s="27">
        <v>0</v>
      </c>
      <c r="D3420" s="25" t="str">
        <f t="shared" si="106"/>
        <v>201911</v>
      </c>
      <c r="E3420" s="22" t="str">
        <f t="shared" ca="1" si="107"/>
        <v>201903</v>
      </c>
      <c r="F3420" s="22">
        <v>2019</v>
      </c>
    </row>
    <row r="3421" spans="1:6" ht="15.75">
      <c r="A3421" s="22" t="s">
        <v>1443</v>
      </c>
      <c r="B3421" s="20">
        <v>43539</v>
      </c>
      <c r="C3421" s="21">
        <v>0</v>
      </c>
      <c r="D3421" s="25" t="str">
        <f t="shared" si="106"/>
        <v>201911</v>
      </c>
      <c r="E3421" s="22" t="str">
        <f t="shared" ca="1" si="107"/>
        <v>201903</v>
      </c>
      <c r="F3421" s="22">
        <v>2019</v>
      </c>
    </row>
    <row r="3422" spans="1:6" ht="15.75">
      <c r="A3422" s="22" t="s">
        <v>1441</v>
      </c>
      <c r="B3422" s="26">
        <v>43539</v>
      </c>
      <c r="C3422" s="27">
        <v>0.17</v>
      </c>
      <c r="D3422" s="25" t="str">
        <f t="shared" si="106"/>
        <v>201911</v>
      </c>
      <c r="E3422" s="22" t="str">
        <f t="shared" ca="1" si="107"/>
        <v>201903</v>
      </c>
      <c r="F3422" s="22">
        <v>2019</v>
      </c>
    </row>
    <row r="3423" spans="1:6" ht="15.75">
      <c r="A3423" s="22" t="s">
        <v>1442</v>
      </c>
      <c r="B3423" s="23">
        <v>43540</v>
      </c>
      <c r="C3423" s="24">
        <v>3.87</v>
      </c>
      <c r="D3423" s="25" t="str">
        <f t="shared" si="106"/>
        <v>201911</v>
      </c>
      <c r="E3423" s="22" t="str">
        <f t="shared" ca="1" si="107"/>
        <v>201903</v>
      </c>
      <c r="F3423" s="22">
        <v>2019</v>
      </c>
    </row>
    <row r="3424" spans="1:6" ht="15.75">
      <c r="A3424" s="22" t="s">
        <v>1442</v>
      </c>
      <c r="B3424" s="23">
        <v>43540</v>
      </c>
      <c r="C3424" s="24">
        <v>0</v>
      </c>
      <c r="D3424" s="25" t="str">
        <f t="shared" si="106"/>
        <v>201911</v>
      </c>
      <c r="E3424" s="22" t="str">
        <f t="shared" ca="1" si="107"/>
        <v>201903</v>
      </c>
      <c r="F3424" s="22">
        <v>2019</v>
      </c>
    </row>
    <row r="3425" spans="1:6" ht="15.75">
      <c r="A3425" s="22" t="s">
        <v>1443</v>
      </c>
      <c r="B3425" s="20">
        <v>43540</v>
      </c>
      <c r="C3425" s="21">
        <v>0</v>
      </c>
      <c r="D3425" s="25" t="str">
        <f t="shared" si="106"/>
        <v>201911</v>
      </c>
      <c r="E3425" s="22" t="str">
        <f t="shared" ca="1" si="107"/>
        <v>201903</v>
      </c>
      <c r="F3425" s="22">
        <v>2019</v>
      </c>
    </row>
    <row r="3426" spans="1:6" ht="15.75">
      <c r="A3426" s="22" t="s">
        <v>1441</v>
      </c>
      <c r="B3426" s="26">
        <v>43540</v>
      </c>
      <c r="C3426" s="27">
        <v>1.88</v>
      </c>
      <c r="D3426" s="25" t="str">
        <f t="shared" si="106"/>
        <v>201911</v>
      </c>
      <c r="E3426" s="22" t="str">
        <f t="shared" ca="1" si="107"/>
        <v>201903</v>
      </c>
      <c r="F3426" s="22">
        <v>2019</v>
      </c>
    </row>
    <row r="3427" spans="1:6" ht="15.75">
      <c r="A3427" s="22" t="s">
        <v>1442</v>
      </c>
      <c r="B3427" s="23">
        <v>43541</v>
      </c>
      <c r="C3427" s="24">
        <v>10.93</v>
      </c>
      <c r="D3427" s="25" t="str">
        <f t="shared" si="106"/>
        <v>201911</v>
      </c>
      <c r="E3427" s="22" t="str">
        <f t="shared" ca="1" si="107"/>
        <v>201903</v>
      </c>
      <c r="F3427" s="22">
        <v>2019</v>
      </c>
    </row>
    <row r="3428" spans="1:6" ht="15.75">
      <c r="A3428" s="22" t="s">
        <v>1442</v>
      </c>
      <c r="B3428" s="23">
        <v>43541</v>
      </c>
      <c r="C3428" s="24">
        <v>0</v>
      </c>
      <c r="D3428" s="25" t="str">
        <f t="shared" si="106"/>
        <v>201911</v>
      </c>
      <c r="E3428" s="22" t="str">
        <f t="shared" ca="1" si="107"/>
        <v>201903</v>
      </c>
      <c r="F3428" s="22">
        <v>2019</v>
      </c>
    </row>
    <row r="3429" spans="1:6" ht="15.75">
      <c r="A3429" s="22" t="s">
        <v>1443</v>
      </c>
      <c r="B3429" s="20">
        <v>43541</v>
      </c>
      <c r="C3429" s="21">
        <v>0</v>
      </c>
      <c r="D3429" s="25" t="str">
        <f t="shared" si="106"/>
        <v>201911</v>
      </c>
      <c r="E3429" s="22" t="str">
        <f t="shared" ca="1" si="107"/>
        <v>201903</v>
      </c>
      <c r="F3429" s="22">
        <v>2019</v>
      </c>
    </row>
    <row r="3430" spans="1:6" ht="15.75">
      <c r="A3430" s="22" t="s">
        <v>1441</v>
      </c>
      <c r="B3430" s="26">
        <v>43541</v>
      </c>
      <c r="C3430" s="27">
        <v>1.39</v>
      </c>
      <c r="D3430" s="25" t="str">
        <f t="shared" si="106"/>
        <v>201911</v>
      </c>
      <c r="E3430" s="22" t="str">
        <f t="shared" ca="1" si="107"/>
        <v>201903</v>
      </c>
      <c r="F3430" s="22">
        <v>2019</v>
      </c>
    </row>
    <row r="3431" spans="1:6" ht="15.75">
      <c r="A3431" s="22" t="s">
        <v>1442</v>
      </c>
      <c r="B3431" s="23">
        <v>43542</v>
      </c>
      <c r="C3431" s="24">
        <v>3.43</v>
      </c>
      <c r="D3431" s="25" t="str">
        <f t="shared" si="106"/>
        <v>201912</v>
      </c>
      <c r="E3431" s="22" t="str">
        <f t="shared" ca="1" si="107"/>
        <v>201903</v>
      </c>
      <c r="F3431" s="22">
        <v>2019</v>
      </c>
    </row>
    <row r="3432" spans="1:6" ht="15.75">
      <c r="A3432" s="22" t="s">
        <v>1442</v>
      </c>
      <c r="B3432" s="23">
        <v>43542</v>
      </c>
      <c r="C3432" s="24">
        <v>0</v>
      </c>
      <c r="D3432" s="25" t="str">
        <f t="shared" si="106"/>
        <v>201912</v>
      </c>
      <c r="E3432" s="22" t="str">
        <f t="shared" ca="1" si="107"/>
        <v>201903</v>
      </c>
      <c r="F3432" s="22">
        <v>2019</v>
      </c>
    </row>
    <row r="3433" spans="1:6" ht="15.75">
      <c r="A3433" s="22" t="s">
        <v>1443</v>
      </c>
      <c r="B3433" s="20">
        <v>43542</v>
      </c>
      <c r="C3433" s="21">
        <v>0</v>
      </c>
      <c r="D3433" s="25" t="str">
        <f t="shared" si="106"/>
        <v>201912</v>
      </c>
      <c r="E3433" s="22" t="str">
        <f t="shared" ca="1" si="107"/>
        <v>201903</v>
      </c>
      <c r="F3433" s="22">
        <v>2019</v>
      </c>
    </row>
    <row r="3434" spans="1:6" ht="15.75">
      <c r="A3434" s="22" t="s">
        <v>1441</v>
      </c>
      <c r="B3434" s="26">
        <v>43542</v>
      </c>
      <c r="C3434" s="27">
        <v>49.19</v>
      </c>
      <c r="D3434" s="25" t="str">
        <f t="shared" si="106"/>
        <v>201912</v>
      </c>
      <c r="E3434" s="22" t="str">
        <f t="shared" ca="1" si="107"/>
        <v>201903</v>
      </c>
      <c r="F3434" s="22">
        <v>2019</v>
      </c>
    </row>
    <row r="3435" spans="1:6" ht="15.75">
      <c r="A3435" s="22" t="s">
        <v>1442</v>
      </c>
      <c r="B3435" s="23">
        <v>43543</v>
      </c>
      <c r="C3435" s="24">
        <v>169.81</v>
      </c>
      <c r="D3435" s="25" t="str">
        <f t="shared" si="106"/>
        <v>201912</v>
      </c>
      <c r="E3435" s="22" t="str">
        <f t="shared" ca="1" si="107"/>
        <v>201903</v>
      </c>
      <c r="F3435" s="22">
        <v>2019</v>
      </c>
    </row>
    <row r="3436" spans="1:6" ht="15.75">
      <c r="A3436" s="22" t="s">
        <v>1442</v>
      </c>
      <c r="B3436" s="23">
        <v>43543</v>
      </c>
      <c r="C3436" s="24">
        <v>0.38</v>
      </c>
      <c r="D3436" s="25" t="str">
        <f t="shared" si="106"/>
        <v>201912</v>
      </c>
      <c r="E3436" s="22" t="str">
        <f t="shared" ca="1" si="107"/>
        <v>201903</v>
      </c>
      <c r="F3436" s="22">
        <v>2019</v>
      </c>
    </row>
    <row r="3437" spans="1:6" ht="15.75">
      <c r="A3437" s="22" t="s">
        <v>1443</v>
      </c>
      <c r="B3437" s="20">
        <v>43543</v>
      </c>
      <c r="C3437" s="21">
        <v>0</v>
      </c>
      <c r="D3437" s="25" t="str">
        <f t="shared" si="106"/>
        <v>201912</v>
      </c>
      <c r="E3437" s="22" t="str">
        <f t="shared" ca="1" si="107"/>
        <v>201903</v>
      </c>
      <c r="F3437" s="22">
        <v>2019</v>
      </c>
    </row>
    <row r="3438" spans="1:6" ht="15.75">
      <c r="A3438" s="22" t="s">
        <v>1441</v>
      </c>
      <c r="B3438" s="26">
        <v>43543</v>
      </c>
      <c r="C3438" s="27">
        <v>50.48</v>
      </c>
      <c r="D3438" s="25" t="str">
        <f t="shared" si="106"/>
        <v>201912</v>
      </c>
      <c r="E3438" s="22" t="str">
        <f t="shared" ca="1" si="107"/>
        <v>201903</v>
      </c>
      <c r="F3438" s="22">
        <v>2019</v>
      </c>
    </row>
    <row r="3439" spans="1:6" ht="15.75">
      <c r="A3439" s="22" t="s">
        <v>1442</v>
      </c>
      <c r="B3439" s="23">
        <v>43544</v>
      </c>
      <c r="C3439" s="24">
        <v>53.2</v>
      </c>
      <c r="D3439" s="25" t="str">
        <f t="shared" si="106"/>
        <v>201912</v>
      </c>
      <c r="E3439" s="22" t="str">
        <f t="shared" ca="1" si="107"/>
        <v>201903</v>
      </c>
      <c r="F3439" s="22">
        <v>2019</v>
      </c>
    </row>
    <row r="3440" spans="1:6" ht="15.75">
      <c r="A3440" s="22" t="s">
        <v>1442</v>
      </c>
      <c r="B3440" s="23">
        <v>43544</v>
      </c>
      <c r="C3440" s="24">
        <v>0</v>
      </c>
      <c r="D3440" s="25" t="str">
        <f t="shared" si="106"/>
        <v>201912</v>
      </c>
      <c r="E3440" s="22" t="str">
        <f t="shared" ca="1" si="107"/>
        <v>201903</v>
      </c>
      <c r="F3440" s="22">
        <v>2019</v>
      </c>
    </row>
    <row r="3441" spans="1:6" ht="15.75">
      <c r="A3441" s="22" t="s">
        <v>1443</v>
      </c>
      <c r="B3441" s="20">
        <v>43544</v>
      </c>
      <c r="C3441" s="21">
        <v>0</v>
      </c>
      <c r="D3441" s="25" t="str">
        <f t="shared" si="106"/>
        <v>201912</v>
      </c>
      <c r="E3441" s="22" t="str">
        <f t="shared" ca="1" si="107"/>
        <v>201903</v>
      </c>
      <c r="F3441" s="22">
        <v>2019</v>
      </c>
    </row>
    <row r="3442" spans="1:6" ht="15.75">
      <c r="A3442" s="22" t="s">
        <v>1441</v>
      </c>
      <c r="B3442" s="26">
        <v>43544</v>
      </c>
      <c r="C3442" s="27">
        <v>52.37</v>
      </c>
      <c r="D3442" s="25" t="str">
        <f t="shared" si="106"/>
        <v>201912</v>
      </c>
      <c r="E3442" s="22" t="str">
        <f t="shared" ca="1" si="107"/>
        <v>201903</v>
      </c>
      <c r="F3442" s="22">
        <v>2019</v>
      </c>
    </row>
    <row r="3443" spans="1:6" ht="15.75">
      <c r="A3443" s="22" t="s">
        <v>1442</v>
      </c>
      <c r="B3443" s="23">
        <v>43545</v>
      </c>
      <c r="C3443" s="24">
        <v>52.84</v>
      </c>
      <c r="D3443" s="25" t="str">
        <f t="shared" si="106"/>
        <v>201912</v>
      </c>
      <c r="E3443" s="22" t="str">
        <f t="shared" ca="1" si="107"/>
        <v>201903</v>
      </c>
      <c r="F3443" s="22">
        <v>2019</v>
      </c>
    </row>
    <row r="3444" spans="1:6" ht="15.75">
      <c r="A3444" s="22" t="s">
        <v>1442</v>
      </c>
      <c r="B3444" s="23">
        <v>43545</v>
      </c>
      <c r="C3444" s="24">
        <v>0</v>
      </c>
      <c r="D3444" s="25" t="str">
        <f t="shared" si="106"/>
        <v>201912</v>
      </c>
      <c r="E3444" s="22" t="str">
        <f t="shared" ca="1" si="107"/>
        <v>201903</v>
      </c>
      <c r="F3444" s="22">
        <v>2019</v>
      </c>
    </row>
    <row r="3445" spans="1:6" ht="15.75">
      <c r="A3445" s="22" t="s">
        <v>1443</v>
      </c>
      <c r="B3445" s="20">
        <v>43545</v>
      </c>
      <c r="C3445" s="21">
        <v>0</v>
      </c>
      <c r="D3445" s="25" t="str">
        <f t="shared" si="106"/>
        <v>201912</v>
      </c>
      <c r="E3445" s="22" t="str">
        <f t="shared" ca="1" si="107"/>
        <v>201903</v>
      </c>
      <c r="F3445" s="22">
        <v>2019</v>
      </c>
    </row>
    <row r="3446" spans="1:6" ht="15.75">
      <c r="A3446" s="22" t="s">
        <v>1441</v>
      </c>
      <c r="B3446" s="26">
        <v>43545</v>
      </c>
      <c r="C3446" s="27">
        <v>38.89</v>
      </c>
      <c r="D3446" s="25" t="str">
        <f t="shared" si="106"/>
        <v>201912</v>
      </c>
      <c r="E3446" s="22" t="str">
        <f t="shared" ca="1" si="107"/>
        <v>201903</v>
      </c>
      <c r="F3446" s="22">
        <v>2019</v>
      </c>
    </row>
    <row r="3447" spans="1:6" ht="15.75">
      <c r="A3447" s="22" t="s">
        <v>1442</v>
      </c>
      <c r="B3447" s="23">
        <v>43546</v>
      </c>
      <c r="C3447" s="24">
        <v>50.76</v>
      </c>
      <c r="D3447" s="25" t="str">
        <f t="shared" si="106"/>
        <v>201912</v>
      </c>
      <c r="E3447" s="22" t="str">
        <f t="shared" ca="1" si="107"/>
        <v>201903</v>
      </c>
      <c r="F3447" s="22">
        <v>2019</v>
      </c>
    </row>
    <row r="3448" spans="1:6" ht="15.75">
      <c r="A3448" s="22" t="s">
        <v>1442</v>
      </c>
      <c r="B3448" s="23">
        <v>43546</v>
      </c>
      <c r="C3448" s="24">
        <v>0</v>
      </c>
      <c r="D3448" s="25" t="str">
        <f t="shared" si="106"/>
        <v>201912</v>
      </c>
      <c r="E3448" s="22" t="str">
        <f t="shared" ca="1" si="107"/>
        <v>201903</v>
      </c>
      <c r="F3448" s="22">
        <v>2019</v>
      </c>
    </row>
    <row r="3449" spans="1:6" ht="15.75">
      <c r="A3449" s="22" t="s">
        <v>1443</v>
      </c>
      <c r="B3449" s="20">
        <v>43546</v>
      </c>
      <c r="C3449" s="21">
        <v>0</v>
      </c>
      <c r="D3449" s="25" t="str">
        <f t="shared" si="106"/>
        <v>201912</v>
      </c>
      <c r="E3449" s="22" t="str">
        <f t="shared" ca="1" si="107"/>
        <v>201903</v>
      </c>
      <c r="F3449" s="22">
        <v>2019</v>
      </c>
    </row>
    <row r="3450" spans="1:6" ht="15.75">
      <c r="A3450" s="22" t="s">
        <v>1441</v>
      </c>
      <c r="B3450" s="26">
        <v>43546</v>
      </c>
      <c r="C3450" s="27">
        <v>47.53</v>
      </c>
      <c r="D3450" s="25" t="str">
        <f t="shared" si="106"/>
        <v>201912</v>
      </c>
      <c r="E3450" s="22" t="str">
        <f t="shared" ca="1" si="107"/>
        <v>201903</v>
      </c>
      <c r="F3450" s="22">
        <v>2019</v>
      </c>
    </row>
    <row r="3451" spans="1:6" ht="15.75">
      <c r="A3451" s="22" t="s">
        <v>1442</v>
      </c>
      <c r="B3451" s="23">
        <v>43547</v>
      </c>
      <c r="C3451" s="24">
        <v>41.76</v>
      </c>
      <c r="D3451" s="25" t="str">
        <f t="shared" si="106"/>
        <v>201912</v>
      </c>
      <c r="E3451" s="22" t="str">
        <f t="shared" ca="1" si="107"/>
        <v>201903</v>
      </c>
      <c r="F3451" s="22">
        <v>2019</v>
      </c>
    </row>
    <row r="3452" spans="1:6" ht="15.75">
      <c r="A3452" s="22" t="s">
        <v>1442</v>
      </c>
      <c r="B3452" s="23">
        <v>43547</v>
      </c>
      <c r="C3452" s="24">
        <v>0</v>
      </c>
      <c r="D3452" s="25" t="str">
        <f t="shared" si="106"/>
        <v>201912</v>
      </c>
      <c r="E3452" s="22" t="str">
        <f t="shared" ca="1" si="107"/>
        <v>201903</v>
      </c>
      <c r="F3452" s="22">
        <v>2019</v>
      </c>
    </row>
    <row r="3453" spans="1:6" ht="15.75">
      <c r="A3453" s="22" t="s">
        <v>1443</v>
      </c>
      <c r="B3453" s="20">
        <v>43547</v>
      </c>
      <c r="C3453" s="21">
        <v>0</v>
      </c>
      <c r="D3453" s="25" t="str">
        <f t="shared" si="106"/>
        <v>201912</v>
      </c>
      <c r="E3453" s="22" t="str">
        <f t="shared" ca="1" si="107"/>
        <v>201903</v>
      </c>
      <c r="F3453" s="22">
        <v>2019</v>
      </c>
    </row>
    <row r="3454" spans="1:6" ht="15.75">
      <c r="A3454" s="22" t="s">
        <v>1441</v>
      </c>
      <c r="B3454" s="26">
        <v>43547</v>
      </c>
      <c r="C3454" s="27">
        <v>48.3</v>
      </c>
      <c r="D3454" s="25" t="str">
        <f t="shared" si="106"/>
        <v>201912</v>
      </c>
      <c r="E3454" s="22" t="str">
        <f t="shared" ca="1" si="107"/>
        <v>201903</v>
      </c>
      <c r="F3454" s="22">
        <v>2019</v>
      </c>
    </row>
    <row r="3455" spans="1:6" ht="15.75">
      <c r="A3455" s="22" t="s">
        <v>1442</v>
      </c>
      <c r="B3455" s="23">
        <v>43548</v>
      </c>
      <c r="C3455" s="24">
        <v>50.09</v>
      </c>
      <c r="D3455" s="25" t="str">
        <f t="shared" si="106"/>
        <v>201912</v>
      </c>
      <c r="E3455" s="22" t="str">
        <f t="shared" ca="1" si="107"/>
        <v>201903</v>
      </c>
      <c r="F3455" s="22">
        <v>2019</v>
      </c>
    </row>
    <row r="3456" spans="1:6" ht="15.75">
      <c r="A3456" s="22" t="s">
        <v>1442</v>
      </c>
      <c r="B3456" s="23">
        <v>43548</v>
      </c>
      <c r="C3456" s="24">
        <v>0.17</v>
      </c>
      <c r="D3456" s="25" t="str">
        <f t="shared" si="106"/>
        <v>201912</v>
      </c>
      <c r="E3456" s="22" t="str">
        <f t="shared" ca="1" si="107"/>
        <v>201903</v>
      </c>
      <c r="F3456" s="22">
        <v>2019</v>
      </c>
    </row>
    <row r="3457" spans="1:6" ht="15.75">
      <c r="A3457" s="22" t="s">
        <v>1443</v>
      </c>
      <c r="B3457" s="20">
        <v>43548</v>
      </c>
      <c r="C3457" s="21">
        <v>0</v>
      </c>
      <c r="D3457" s="25" t="str">
        <f t="shared" si="106"/>
        <v>201912</v>
      </c>
      <c r="E3457" s="22" t="str">
        <f t="shared" ca="1" si="107"/>
        <v>201903</v>
      </c>
      <c r="F3457" s="22">
        <v>2019</v>
      </c>
    </row>
    <row r="3458" spans="1:6" ht="15.75">
      <c r="A3458" s="22" t="s">
        <v>1441</v>
      </c>
      <c r="B3458" s="26">
        <v>43548</v>
      </c>
      <c r="C3458" s="27">
        <v>25.18</v>
      </c>
      <c r="D3458" s="25" t="str">
        <f t="shared" si="106"/>
        <v>201912</v>
      </c>
      <c r="E3458" s="22" t="str">
        <f t="shared" ca="1" si="107"/>
        <v>201903</v>
      </c>
      <c r="F3458" s="22">
        <v>2019</v>
      </c>
    </row>
    <row r="3459" spans="1:6" ht="15.75">
      <c r="A3459" s="22" t="s">
        <v>1442</v>
      </c>
      <c r="B3459" s="23">
        <v>43549</v>
      </c>
      <c r="C3459" s="24">
        <v>43.55</v>
      </c>
      <c r="D3459" s="25" t="str">
        <f t="shared" ref="D3459:D3522" si="108">CONCATENATE(YEAR(B3459-WEEKDAY(B3459,3)+3),TEXT(WEEKNUM(B3459,21),"00"))</f>
        <v>201913</v>
      </c>
      <c r="E3459" s="22" t="str">
        <f t="shared" ref="E3459:E3522" ca="1" si="109">IF(
  AND(
    YEAR(B3459)=YEAR(TODAY())-1,
    MONTH(B3459)=MONTH(TODAY()),
    DAY(B3459)&gt;DAY($H$2)
  ),
  0,
  CONCATENATE(YEAR(B3459),TEXT(MONTH(B3459),"00"))
)</f>
        <v>201903</v>
      </c>
      <c r="F3459" s="22">
        <v>2019</v>
      </c>
    </row>
    <row r="3460" spans="1:6" ht="15.75">
      <c r="A3460" s="22" t="s">
        <v>1442</v>
      </c>
      <c r="B3460" s="23">
        <v>43549</v>
      </c>
      <c r="C3460" s="24">
        <v>0</v>
      </c>
      <c r="D3460" s="25" t="str">
        <f t="shared" si="108"/>
        <v>201913</v>
      </c>
      <c r="E3460" s="22" t="str">
        <f t="shared" ca="1" si="109"/>
        <v>201903</v>
      </c>
      <c r="F3460" s="22">
        <v>2019</v>
      </c>
    </row>
    <row r="3461" spans="1:6" ht="15.75">
      <c r="A3461" s="22" t="s">
        <v>1443</v>
      </c>
      <c r="B3461" s="20">
        <v>43549</v>
      </c>
      <c r="C3461" s="21">
        <v>2.40000003576279</v>
      </c>
      <c r="D3461" s="25" t="str">
        <f t="shared" si="108"/>
        <v>201913</v>
      </c>
      <c r="E3461" s="22" t="str">
        <f t="shared" ca="1" si="109"/>
        <v>201903</v>
      </c>
      <c r="F3461" s="22">
        <v>2019</v>
      </c>
    </row>
    <row r="3462" spans="1:6" ht="15.75">
      <c r="A3462" s="22" t="s">
        <v>1441</v>
      </c>
      <c r="B3462" s="26">
        <v>43549</v>
      </c>
      <c r="C3462" s="27">
        <v>25.18</v>
      </c>
      <c r="D3462" s="25" t="str">
        <f t="shared" si="108"/>
        <v>201913</v>
      </c>
      <c r="E3462" s="22" t="str">
        <f t="shared" ca="1" si="109"/>
        <v>201903</v>
      </c>
      <c r="F3462" s="22">
        <v>2019</v>
      </c>
    </row>
    <row r="3463" spans="1:6" ht="15.75">
      <c r="A3463" s="22" t="s">
        <v>1442</v>
      </c>
      <c r="B3463" s="23">
        <v>43550</v>
      </c>
      <c r="C3463" s="24">
        <v>32.9</v>
      </c>
      <c r="D3463" s="25" t="str">
        <f t="shared" si="108"/>
        <v>201913</v>
      </c>
      <c r="E3463" s="22" t="str">
        <f t="shared" ca="1" si="109"/>
        <v>201903</v>
      </c>
      <c r="F3463" s="22">
        <v>2019</v>
      </c>
    </row>
    <row r="3464" spans="1:6" ht="15.75">
      <c r="A3464" s="22" t="s">
        <v>1442</v>
      </c>
      <c r="B3464" s="23">
        <v>43550</v>
      </c>
      <c r="C3464" s="24">
        <v>0</v>
      </c>
      <c r="D3464" s="25" t="str">
        <f t="shared" si="108"/>
        <v>201913</v>
      </c>
      <c r="E3464" s="22" t="str">
        <f t="shared" ca="1" si="109"/>
        <v>201903</v>
      </c>
      <c r="F3464" s="22">
        <v>2019</v>
      </c>
    </row>
    <row r="3465" spans="1:6" ht="15.75">
      <c r="A3465" s="22" t="s">
        <v>1443</v>
      </c>
      <c r="B3465" s="20">
        <v>43550</v>
      </c>
      <c r="C3465" s="21">
        <v>30.400000423192999</v>
      </c>
      <c r="D3465" s="25" t="str">
        <f t="shared" si="108"/>
        <v>201913</v>
      </c>
      <c r="E3465" s="22" t="str">
        <f t="shared" ca="1" si="109"/>
        <v>201903</v>
      </c>
      <c r="F3465" s="22">
        <v>2019</v>
      </c>
    </row>
    <row r="3466" spans="1:6" ht="15.75">
      <c r="A3466" s="22" t="s">
        <v>1441</v>
      </c>
      <c r="B3466" s="26">
        <v>43550</v>
      </c>
      <c r="C3466" s="27">
        <v>23.74</v>
      </c>
      <c r="D3466" s="25" t="str">
        <f t="shared" si="108"/>
        <v>201913</v>
      </c>
      <c r="E3466" s="22" t="str">
        <f t="shared" ca="1" si="109"/>
        <v>201903</v>
      </c>
      <c r="F3466" s="22">
        <v>2019</v>
      </c>
    </row>
    <row r="3467" spans="1:6" ht="15.75">
      <c r="A3467" s="22" t="s">
        <v>1442</v>
      </c>
      <c r="B3467" s="23">
        <v>43551</v>
      </c>
      <c r="C3467" s="24">
        <v>2.56</v>
      </c>
      <c r="D3467" s="25" t="str">
        <f t="shared" si="108"/>
        <v>201913</v>
      </c>
      <c r="E3467" s="22" t="str">
        <f t="shared" ca="1" si="109"/>
        <v>201903</v>
      </c>
      <c r="F3467" s="22">
        <v>2019</v>
      </c>
    </row>
    <row r="3468" spans="1:6" ht="15.75">
      <c r="A3468" s="22" t="s">
        <v>1442</v>
      </c>
      <c r="B3468" s="23">
        <v>43551</v>
      </c>
      <c r="C3468" s="24">
        <v>0</v>
      </c>
      <c r="D3468" s="25" t="str">
        <f t="shared" si="108"/>
        <v>201913</v>
      </c>
      <c r="E3468" s="22" t="str">
        <f t="shared" ca="1" si="109"/>
        <v>201903</v>
      </c>
      <c r="F3468" s="22">
        <v>2019</v>
      </c>
    </row>
    <row r="3469" spans="1:6" ht="15.75">
      <c r="A3469" s="22" t="s">
        <v>1443</v>
      </c>
      <c r="B3469" s="20">
        <v>43551</v>
      </c>
      <c r="C3469" s="21">
        <v>70.800000667571993</v>
      </c>
      <c r="D3469" s="25" t="str">
        <f t="shared" si="108"/>
        <v>201913</v>
      </c>
      <c r="E3469" s="22" t="str">
        <f t="shared" ca="1" si="109"/>
        <v>201903</v>
      </c>
      <c r="F3469" s="22">
        <v>2019</v>
      </c>
    </row>
    <row r="3470" spans="1:6" ht="15.75">
      <c r="A3470" s="22" t="s">
        <v>1441</v>
      </c>
      <c r="B3470" s="26">
        <v>43551</v>
      </c>
      <c r="C3470" s="27">
        <v>18.52</v>
      </c>
      <c r="D3470" s="25" t="str">
        <f t="shared" si="108"/>
        <v>201913</v>
      </c>
      <c r="E3470" s="22" t="str">
        <f t="shared" ca="1" si="109"/>
        <v>201903</v>
      </c>
      <c r="F3470" s="22">
        <v>2019</v>
      </c>
    </row>
    <row r="3471" spans="1:6" ht="15.75">
      <c r="A3471" s="22" t="s">
        <v>1442</v>
      </c>
      <c r="B3471" s="23">
        <v>43552</v>
      </c>
      <c r="C3471" s="24">
        <v>0</v>
      </c>
      <c r="D3471" s="25" t="str">
        <f t="shared" si="108"/>
        <v>201913</v>
      </c>
      <c r="E3471" s="22" t="str">
        <f t="shared" ca="1" si="109"/>
        <v>201903</v>
      </c>
      <c r="F3471" s="22">
        <v>2019</v>
      </c>
    </row>
    <row r="3472" spans="1:6" ht="15.75">
      <c r="A3472" s="22" t="s">
        <v>1443</v>
      </c>
      <c r="B3472" s="20">
        <v>43552</v>
      </c>
      <c r="C3472" s="21">
        <v>75.999999344348893</v>
      </c>
      <c r="D3472" s="25" t="str">
        <f t="shared" si="108"/>
        <v>201913</v>
      </c>
      <c r="E3472" s="22" t="str">
        <f t="shared" ca="1" si="109"/>
        <v>201903</v>
      </c>
      <c r="F3472" s="22">
        <v>2019</v>
      </c>
    </row>
    <row r="3473" spans="1:6" ht="15.75">
      <c r="A3473" s="22" t="s">
        <v>1441</v>
      </c>
      <c r="B3473" s="26">
        <v>43552</v>
      </c>
      <c r="C3473" s="27">
        <v>19.36</v>
      </c>
      <c r="D3473" s="25" t="str">
        <f t="shared" si="108"/>
        <v>201913</v>
      </c>
      <c r="E3473" s="22" t="str">
        <f t="shared" ca="1" si="109"/>
        <v>201903</v>
      </c>
      <c r="F3473" s="22">
        <v>2019</v>
      </c>
    </row>
    <row r="3474" spans="1:6" ht="15.75">
      <c r="A3474" s="22" t="s">
        <v>1442</v>
      </c>
      <c r="B3474" s="23">
        <v>43553</v>
      </c>
      <c r="C3474" s="24">
        <v>0</v>
      </c>
      <c r="D3474" s="25" t="str">
        <f t="shared" si="108"/>
        <v>201913</v>
      </c>
      <c r="E3474" s="22" t="str">
        <f t="shared" ca="1" si="109"/>
        <v>201903</v>
      </c>
      <c r="F3474" s="22">
        <v>2019</v>
      </c>
    </row>
    <row r="3475" spans="1:6" ht="15.75">
      <c r="A3475" s="22" t="s">
        <v>1443</v>
      </c>
      <c r="B3475" s="20">
        <v>43553</v>
      </c>
      <c r="C3475" s="21">
        <v>94.800001800060301</v>
      </c>
      <c r="D3475" s="25" t="str">
        <f t="shared" si="108"/>
        <v>201913</v>
      </c>
      <c r="E3475" s="22" t="str">
        <f t="shared" ca="1" si="109"/>
        <v>201903</v>
      </c>
      <c r="F3475" s="22">
        <v>2019</v>
      </c>
    </row>
    <row r="3476" spans="1:6" ht="15.75">
      <c r="A3476" s="22" t="s">
        <v>1441</v>
      </c>
      <c r="B3476" s="26">
        <v>43553</v>
      </c>
      <c r="C3476" s="27">
        <v>28.83</v>
      </c>
      <c r="D3476" s="25" t="str">
        <f t="shared" si="108"/>
        <v>201913</v>
      </c>
      <c r="E3476" s="22" t="str">
        <f t="shared" ca="1" si="109"/>
        <v>201903</v>
      </c>
      <c r="F3476" s="22">
        <v>2019</v>
      </c>
    </row>
    <row r="3477" spans="1:6" ht="15.75">
      <c r="A3477" s="22" t="s">
        <v>1442</v>
      </c>
      <c r="B3477" s="23">
        <v>43554</v>
      </c>
      <c r="C3477" s="24">
        <v>0</v>
      </c>
      <c r="D3477" s="25" t="str">
        <f t="shared" si="108"/>
        <v>201913</v>
      </c>
      <c r="E3477" s="22" t="str">
        <f t="shared" ca="1" si="109"/>
        <v>201903</v>
      </c>
      <c r="F3477" s="22">
        <v>2019</v>
      </c>
    </row>
    <row r="3478" spans="1:6" ht="15.75">
      <c r="A3478" s="22" t="s">
        <v>1443</v>
      </c>
      <c r="B3478" s="20">
        <v>43554</v>
      </c>
      <c r="C3478" s="21">
        <v>87.599999964237199</v>
      </c>
      <c r="D3478" s="25" t="str">
        <f t="shared" si="108"/>
        <v>201913</v>
      </c>
      <c r="E3478" s="22" t="str">
        <f t="shared" ca="1" si="109"/>
        <v>201903</v>
      </c>
      <c r="F3478" s="22">
        <v>2019</v>
      </c>
    </row>
    <row r="3479" spans="1:6" ht="15.75">
      <c r="A3479" s="22" t="s">
        <v>1441</v>
      </c>
      <c r="B3479" s="26">
        <v>43554</v>
      </c>
      <c r="C3479" s="27">
        <v>38.28</v>
      </c>
      <c r="D3479" s="25" t="str">
        <f t="shared" si="108"/>
        <v>201913</v>
      </c>
      <c r="E3479" s="22" t="str">
        <f t="shared" ca="1" si="109"/>
        <v>201903</v>
      </c>
      <c r="F3479" s="22">
        <v>2019</v>
      </c>
    </row>
    <row r="3480" spans="1:6" ht="15.75">
      <c r="A3480" s="22" t="s">
        <v>1442</v>
      </c>
      <c r="B3480" s="23">
        <v>43555</v>
      </c>
      <c r="C3480" s="24">
        <v>0</v>
      </c>
      <c r="D3480" s="25" t="str">
        <f t="shared" si="108"/>
        <v>201913</v>
      </c>
      <c r="E3480" s="22" t="str">
        <f t="shared" ca="1" si="109"/>
        <v>201903</v>
      </c>
      <c r="F3480" s="22">
        <v>2019</v>
      </c>
    </row>
    <row r="3481" spans="1:6" ht="15.75">
      <c r="A3481" s="22" t="s">
        <v>1443</v>
      </c>
      <c r="B3481" s="20">
        <v>43555</v>
      </c>
      <c r="C3481" s="21">
        <v>63.199999839067502</v>
      </c>
      <c r="D3481" s="25" t="str">
        <f t="shared" si="108"/>
        <v>201913</v>
      </c>
      <c r="E3481" s="22" t="str">
        <f t="shared" ca="1" si="109"/>
        <v>201903</v>
      </c>
      <c r="F3481" s="22">
        <v>2019</v>
      </c>
    </row>
    <row r="3482" spans="1:6" ht="15.75">
      <c r="A3482" s="22" t="s">
        <v>1441</v>
      </c>
      <c r="B3482" s="26">
        <v>43555</v>
      </c>
      <c r="C3482" s="27">
        <v>39.58</v>
      </c>
      <c r="D3482" s="25" t="str">
        <f t="shared" si="108"/>
        <v>201913</v>
      </c>
      <c r="E3482" s="22" t="str">
        <f t="shared" ca="1" si="109"/>
        <v>201903</v>
      </c>
      <c r="F3482" s="22">
        <v>2019</v>
      </c>
    </row>
    <row r="3483" spans="1:6" ht="15.75">
      <c r="A3483" s="22" t="s">
        <v>1442</v>
      </c>
      <c r="B3483" s="23">
        <v>43556</v>
      </c>
      <c r="C3483" s="24">
        <v>0</v>
      </c>
      <c r="D3483" s="25" t="str">
        <f t="shared" si="108"/>
        <v>201914</v>
      </c>
      <c r="E3483" s="22" t="str">
        <f t="shared" ca="1" si="109"/>
        <v>201904</v>
      </c>
      <c r="F3483" s="22">
        <v>2019</v>
      </c>
    </row>
    <row r="3484" spans="1:6" ht="15.75">
      <c r="A3484" s="22" t="s">
        <v>1443</v>
      </c>
      <c r="B3484" s="20">
        <v>43556</v>
      </c>
      <c r="C3484" s="21">
        <v>98.8000031113625</v>
      </c>
      <c r="D3484" s="25" t="str">
        <f t="shared" si="108"/>
        <v>201914</v>
      </c>
      <c r="E3484" s="22" t="str">
        <f t="shared" ca="1" si="109"/>
        <v>201904</v>
      </c>
      <c r="F3484" s="22">
        <v>2019</v>
      </c>
    </row>
    <row r="3485" spans="1:6" ht="15.75">
      <c r="A3485" s="22" t="s">
        <v>1441</v>
      </c>
      <c r="B3485" s="26">
        <v>43556</v>
      </c>
      <c r="C3485" s="27">
        <v>40.19</v>
      </c>
      <c r="D3485" s="25" t="str">
        <f t="shared" si="108"/>
        <v>201914</v>
      </c>
      <c r="E3485" s="22" t="str">
        <f t="shared" ca="1" si="109"/>
        <v>201904</v>
      </c>
      <c r="F3485" s="22">
        <v>2019</v>
      </c>
    </row>
    <row r="3486" spans="1:6" ht="15.75">
      <c r="A3486" s="22" t="s">
        <v>1442</v>
      </c>
      <c r="B3486" s="23">
        <v>43557</v>
      </c>
      <c r="C3486" s="24">
        <v>0</v>
      </c>
      <c r="D3486" s="25" t="str">
        <f t="shared" si="108"/>
        <v>201914</v>
      </c>
      <c r="E3486" s="22" t="str">
        <f t="shared" ca="1" si="109"/>
        <v>201904</v>
      </c>
      <c r="F3486" s="22">
        <v>2019</v>
      </c>
    </row>
    <row r="3487" spans="1:6" ht="15.75">
      <c r="A3487" s="22" t="s">
        <v>1443</v>
      </c>
      <c r="B3487" s="20">
        <v>43557</v>
      </c>
      <c r="C3487" s="21">
        <v>92.399999201297803</v>
      </c>
      <c r="D3487" s="25" t="str">
        <f t="shared" si="108"/>
        <v>201914</v>
      </c>
      <c r="E3487" s="22" t="str">
        <f t="shared" ca="1" si="109"/>
        <v>201904</v>
      </c>
      <c r="F3487" s="22">
        <v>2019</v>
      </c>
    </row>
    <row r="3488" spans="1:6" ht="15.75">
      <c r="A3488" s="22" t="s">
        <v>1441</v>
      </c>
      <c r="B3488" s="26">
        <v>43557</v>
      </c>
      <c r="C3488" s="27">
        <v>39.79</v>
      </c>
      <c r="D3488" s="25" t="str">
        <f t="shared" si="108"/>
        <v>201914</v>
      </c>
      <c r="E3488" s="22" t="str">
        <f t="shared" ca="1" si="109"/>
        <v>201904</v>
      </c>
      <c r="F3488" s="22">
        <v>2019</v>
      </c>
    </row>
    <row r="3489" spans="1:6" ht="15.75">
      <c r="A3489" s="22" t="s">
        <v>1442</v>
      </c>
      <c r="B3489" s="23">
        <v>43558</v>
      </c>
      <c r="C3489" s="24">
        <v>0</v>
      </c>
      <c r="D3489" s="25" t="str">
        <f t="shared" si="108"/>
        <v>201914</v>
      </c>
      <c r="E3489" s="22" t="str">
        <f t="shared" ca="1" si="109"/>
        <v>201904</v>
      </c>
      <c r="F3489" s="22">
        <v>2019</v>
      </c>
    </row>
    <row r="3490" spans="1:6" ht="15.75">
      <c r="A3490" s="22" t="s">
        <v>1443</v>
      </c>
      <c r="B3490" s="20">
        <v>43558</v>
      </c>
      <c r="C3490" s="21">
        <v>84.800001561641693</v>
      </c>
      <c r="D3490" s="25" t="str">
        <f t="shared" si="108"/>
        <v>201914</v>
      </c>
      <c r="E3490" s="22" t="str">
        <f t="shared" ca="1" si="109"/>
        <v>201904</v>
      </c>
      <c r="F3490" s="22">
        <v>2019</v>
      </c>
    </row>
    <row r="3491" spans="1:6" ht="15.75">
      <c r="A3491" s="22" t="s">
        <v>1441</v>
      </c>
      <c r="B3491" s="26">
        <v>43558</v>
      </c>
      <c r="C3491" s="27">
        <v>40.54</v>
      </c>
      <c r="D3491" s="25" t="str">
        <f t="shared" si="108"/>
        <v>201914</v>
      </c>
      <c r="E3491" s="22" t="str">
        <f t="shared" ca="1" si="109"/>
        <v>201904</v>
      </c>
      <c r="F3491" s="22">
        <v>2019</v>
      </c>
    </row>
    <row r="3492" spans="1:6" ht="15.75">
      <c r="A3492" s="22" t="s">
        <v>1442</v>
      </c>
      <c r="B3492" s="23">
        <v>43559</v>
      </c>
      <c r="C3492" s="24">
        <v>1.72</v>
      </c>
      <c r="D3492" s="25" t="str">
        <f t="shared" si="108"/>
        <v>201914</v>
      </c>
      <c r="E3492" s="22" t="str">
        <f t="shared" ca="1" si="109"/>
        <v>201904</v>
      </c>
      <c r="F3492" s="22">
        <v>2019</v>
      </c>
    </row>
    <row r="3493" spans="1:6" ht="15.75">
      <c r="A3493" s="22" t="s">
        <v>1443</v>
      </c>
      <c r="B3493" s="20">
        <v>43559</v>
      </c>
      <c r="C3493" s="21">
        <v>84.400001525878906</v>
      </c>
      <c r="D3493" s="25" t="str">
        <f t="shared" si="108"/>
        <v>201914</v>
      </c>
      <c r="E3493" s="22" t="str">
        <f t="shared" ca="1" si="109"/>
        <v>201904</v>
      </c>
      <c r="F3493" s="22">
        <v>2019</v>
      </c>
    </row>
    <row r="3494" spans="1:6" ht="15.75">
      <c r="A3494" s="22" t="s">
        <v>1441</v>
      </c>
      <c r="B3494" s="26">
        <v>43559</v>
      </c>
      <c r="C3494" s="27">
        <v>40.53</v>
      </c>
      <c r="D3494" s="25" t="str">
        <f t="shared" si="108"/>
        <v>201914</v>
      </c>
      <c r="E3494" s="22" t="str">
        <f t="shared" ca="1" si="109"/>
        <v>201904</v>
      </c>
      <c r="F3494" s="22">
        <v>2019</v>
      </c>
    </row>
    <row r="3495" spans="1:6" ht="15.75">
      <c r="A3495" s="22" t="s">
        <v>1442</v>
      </c>
      <c r="B3495" s="23">
        <v>43560</v>
      </c>
      <c r="C3495" s="24">
        <v>0</v>
      </c>
      <c r="D3495" s="25" t="str">
        <f t="shared" si="108"/>
        <v>201914</v>
      </c>
      <c r="E3495" s="22" t="str">
        <f t="shared" ca="1" si="109"/>
        <v>201904</v>
      </c>
      <c r="F3495" s="22">
        <v>2019</v>
      </c>
    </row>
    <row r="3496" spans="1:6" ht="15.75">
      <c r="A3496" s="22" t="s">
        <v>1443</v>
      </c>
      <c r="B3496" s="20">
        <v>43560</v>
      </c>
      <c r="C3496" s="21">
        <v>79.600001245737104</v>
      </c>
      <c r="D3496" s="25" t="str">
        <f t="shared" si="108"/>
        <v>201914</v>
      </c>
      <c r="E3496" s="22" t="str">
        <f t="shared" ca="1" si="109"/>
        <v>201904</v>
      </c>
      <c r="F3496" s="22">
        <v>2019</v>
      </c>
    </row>
    <row r="3497" spans="1:6" ht="15.75">
      <c r="A3497" s="22" t="s">
        <v>1441</v>
      </c>
      <c r="B3497" s="26">
        <v>43560</v>
      </c>
      <c r="C3497" s="27">
        <v>40.08</v>
      </c>
      <c r="D3497" s="25" t="str">
        <f t="shared" si="108"/>
        <v>201914</v>
      </c>
      <c r="E3497" s="22" t="str">
        <f t="shared" ca="1" si="109"/>
        <v>201904</v>
      </c>
      <c r="F3497" s="22">
        <v>2019</v>
      </c>
    </row>
    <row r="3498" spans="1:6" ht="15.75">
      <c r="A3498" s="22" t="s">
        <v>1442</v>
      </c>
      <c r="B3498" s="23">
        <v>43561</v>
      </c>
      <c r="C3498" s="24">
        <v>1.02</v>
      </c>
      <c r="D3498" s="25" t="str">
        <f t="shared" si="108"/>
        <v>201914</v>
      </c>
      <c r="E3498" s="22" t="str">
        <f t="shared" ca="1" si="109"/>
        <v>201904</v>
      </c>
      <c r="F3498" s="22">
        <v>2019</v>
      </c>
    </row>
    <row r="3499" spans="1:6" ht="15.75">
      <c r="A3499" s="22" t="s">
        <v>1443</v>
      </c>
      <c r="B3499" s="20">
        <v>43561</v>
      </c>
      <c r="C3499" s="21">
        <v>71.200000524520902</v>
      </c>
      <c r="D3499" s="25" t="str">
        <f t="shared" si="108"/>
        <v>201914</v>
      </c>
      <c r="E3499" s="22" t="str">
        <f t="shared" ca="1" si="109"/>
        <v>201904</v>
      </c>
      <c r="F3499" s="22">
        <v>2019</v>
      </c>
    </row>
    <row r="3500" spans="1:6" ht="15.75">
      <c r="A3500" s="22" t="s">
        <v>1441</v>
      </c>
      <c r="B3500" s="26">
        <v>43561</v>
      </c>
      <c r="C3500" s="27">
        <v>39.29</v>
      </c>
      <c r="D3500" s="25" t="str">
        <f t="shared" si="108"/>
        <v>201914</v>
      </c>
      <c r="E3500" s="22" t="str">
        <f t="shared" ca="1" si="109"/>
        <v>201904</v>
      </c>
      <c r="F3500" s="22">
        <v>2019</v>
      </c>
    </row>
    <row r="3501" spans="1:6" ht="15.75">
      <c r="A3501" s="22" t="s">
        <v>1442</v>
      </c>
      <c r="B3501" s="23">
        <v>43562</v>
      </c>
      <c r="C3501" s="24">
        <v>1.54</v>
      </c>
      <c r="D3501" s="25" t="str">
        <f t="shared" si="108"/>
        <v>201914</v>
      </c>
      <c r="E3501" s="22" t="str">
        <f t="shared" ca="1" si="109"/>
        <v>201904</v>
      </c>
      <c r="F3501" s="22">
        <v>2019</v>
      </c>
    </row>
    <row r="3502" spans="1:6" ht="15.75">
      <c r="A3502" s="22" t="s">
        <v>1443</v>
      </c>
      <c r="B3502" s="20">
        <v>43562</v>
      </c>
      <c r="C3502" s="21">
        <v>77.600001096725506</v>
      </c>
      <c r="D3502" s="25" t="str">
        <f t="shared" si="108"/>
        <v>201914</v>
      </c>
      <c r="E3502" s="22" t="str">
        <f t="shared" ca="1" si="109"/>
        <v>201904</v>
      </c>
      <c r="F3502" s="22">
        <v>2019</v>
      </c>
    </row>
    <row r="3503" spans="1:6" ht="15.75">
      <c r="A3503" s="22" t="s">
        <v>1441</v>
      </c>
      <c r="B3503" s="26">
        <v>43562</v>
      </c>
      <c r="C3503" s="27">
        <v>39.96</v>
      </c>
      <c r="D3503" s="25" t="str">
        <f t="shared" si="108"/>
        <v>201914</v>
      </c>
      <c r="E3503" s="22" t="str">
        <f t="shared" ca="1" si="109"/>
        <v>201904</v>
      </c>
      <c r="F3503" s="22">
        <v>2019</v>
      </c>
    </row>
    <row r="3504" spans="1:6" ht="15.75">
      <c r="A3504" s="22" t="s">
        <v>1442</v>
      </c>
      <c r="B3504" s="23">
        <v>43563</v>
      </c>
      <c r="C3504" s="24">
        <v>0</v>
      </c>
      <c r="D3504" s="25" t="str">
        <f t="shared" si="108"/>
        <v>201915</v>
      </c>
      <c r="E3504" s="22" t="str">
        <f t="shared" ca="1" si="109"/>
        <v>201904</v>
      </c>
      <c r="F3504" s="22">
        <v>2019</v>
      </c>
    </row>
    <row r="3505" spans="1:6" ht="15.75">
      <c r="A3505" s="22" t="s">
        <v>1443</v>
      </c>
      <c r="B3505" s="20">
        <v>43563</v>
      </c>
      <c r="C3505" s="21">
        <v>101.600002288818</v>
      </c>
      <c r="D3505" s="25" t="str">
        <f t="shared" si="108"/>
        <v>201915</v>
      </c>
      <c r="E3505" s="22" t="str">
        <f t="shared" ca="1" si="109"/>
        <v>201904</v>
      </c>
      <c r="F3505" s="22">
        <v>2019</v>
      </c>
    </row>
    <row r="3506" spans="1:6" ht="15.75">
      <c r="A3506" s="22" t="s">
        <v>1441</v>
      </c>
      <c r="B3506" s="26">
        <v>43563</v>
      </c>
      <c r="C3506" s="27">
        <v>40.35</v>
      </c>
      <c r="D3506" s="25" t="str">
        <f t="shared" si="108"/>
        <v>201915</v>
      </c>
      <c r="E3506" s="22" t="str">
        <f t="shared" ca="1" si="109"/>
        <v>201904</v>
      </c>
      <c r="F3506" s="22">
        <v>2019</v>
      </c>
    </row>
    <row r="3507" spans="1:6" ht="15.75">
      <c r="A3507" s="22" t="s">
        <v>1442</v>
      </c>
      <c r="B3507" s="23">
        <v>43564</v>
      </c>
      <c r="C3507" s="24">
        <v>0</v>
      </c>
      <c r="D3507" s="25" t="str">
        <f t="shared" si="108"/>
        <v>201915</v>
      </c>
      <c r="E3507" s="22" t="str">
        <f t="shared" ca="1" si="109"/>
        <v>201904</v>
      </c>
      <c r="F3507" s="22">
        <v>2019</v>
      </c>
    </row>
    <row r="3508" spans="1:6" ht="15.75">
      <c r="A3508" s="22" t="s">
        <v>1443</v>
      </c>
      <c r="B3508" s="20">
        <v>43564</v>
      </c>
      <c r="C3508" s="21">
        <v>81.1999988853931</v>
      </c>
      <c r="D3508" s="25" t="str">
        <f t="shared" si="108"/>
        <v>201915</v>
      </c>
      <c r="E3508" s="22" t="str">
        <f t="shared" ca="1" si="109"/>
        <v>201904</v>
      </c>
      <c r="F3508" s="22">
        <v>2019</v>
      </c>
    </row>
    <row r="3509" spans="1:6" ht="15.75">
      <c r="A3509" s="22" t="s">
        <v>1441</v>
      </c>
      <c r="B3509" s="26">
        <v>43564</v>
      </c>
      <c r="C3509" s="27">
        <v>40.119999999999997</v>
      </c>
      <c r="D3509" s="25" t="str">
        <f t="shared" si="108"/>
        <v>201915</v>
      </c>
      <c r="E3509" s="22" t="str">
        <f t="shared" ca="1" si="109"/>
        <v>201904</v>
      </c>
      <c r="F3509" s="22">
        <v>2019</v>
      </c>
    </row>
    <row r="3510" spans="1:6" ht="15.75">
      <c r="A3510" s="22" t="s">
        <v>1442</v>
      </c>
      <c r="B3510" s="23">
        <v>43565</v>
      </c>
      <c r="C3510" s="24">
        <v>7.76</v>
      </c>
      <c r="D3510" s="25" t="str">
        <f t="shared" si="108"/>
        <v>201915</v>
      </c>
      <c r="E3510" s="22" t="str">
        <f t="shared" ca="1" si="109"/>
        <v>201904</v>
      </c>
      <c r="F3510" s="22">
        <v>2019</v>
      </c>
    </row>
    <row r="3511" spans="1:6" ht="15.75">
      <c r="A3511" s="22" t="s">
        <v>1443</v>
      </c>
      <c r="B3511" s="20">
        <v>43565</v>
      </c>
      <c r="C3511" s="21">
        <v>69.200001150369602</v>
      </c>
      <c r="D3511" s="25" t="str">
        <f t="shared" si="108"/>
        <v>201915</v>
      </c>
      <c r="E3511" s="22" t="str">
        <f t="shared" ca="1" si="109"/>
        <v>201904</v>
      </c>
      <c r="F3511" s="22">
        <v>2019</v>
      </c>
    </row>
    <row r="3512" spans="1:6" ht="15.75">
      <c r="A3512" s="22" t="s">
        <v>1441</v>
      </c>
      <c r="B3512" s="26">
        <v>43565</v>
      </c>
      <c r="C3512" s="27">
        <v>39.96</v>
      </c>
      <c r="D3512" s="25" t="str">
        <f t="shared" si="108"/>
        <v>201915</v>
      </c>
      <c r="E3512" s="22" t="str">
        <f t="shared" ca="1" si="109"/>
        <v>201904</v>
      </c>
      <c r="F3512" s="22">
        <v>2019</v>
      </c>
    </row>
    <row r="3513" spans="1:6" ht="15.75">
      <c r="A3513" s="22" t="s">
        <v>1442</v>
      </c>
      <c r="B3513" s="23">
        <v>43566</v>
      </c>
      <c r="C3513" s="24">
        <v>10.6</v>
      </c>
      <c r="D3513" s="25" t="str">
        <f t="shared" si="108"/>
        <v>201915</v>
      </c>
      <c r="E3513" s="22" t="str">
        <f t="shared" ca="1" si="109"/>
        <v>201904</v>
      </c>
      <c r="F3513" s="22">
        <v>2019</v>
      </c>
    </row>
    <row r="3514" spans="1:6" ht="15.75">
      <c r="A3514" s="22" t="s">
        <v>1442</v>
      </c>
      <c r="B3514" s="23">
        <v>43566</v>
      </c>
      <c r="C3514" s="24">
        <v>0.16</v>
      </c>
      <c r="D3514" s="25" t="str">
        <f t="shared" si="108"/>
        <v>201915</v>
      </c>
      <c r="E3514" s="22" t="str">
        <f t="shared" ca="1" si="109"/>
        <v>201904</v>
      </c>
      <c r="F3514" s="22">
        <v>2019</v>
      </c>
    </row>
    <row r="3515" spans="1:6" ht="15.75">
      <c r="A3515" s="22" t="s">
        <v>1443</v>
      </c>
      <c r="B3515" s="20">
        <v>43566</v>
      </c>
      <c r="C3515" s="21">
        <v>58.800000816583598</v>
      </c>
      <c r="D3515" s="25" t="str">
        <f t="shared" si="108"/>
        <v>201915</v>
      </c>
      <c r="E3515" s="22" t="str">
        <f t="shared" ca="1" si="109"/>
        <v>201904</v>
      </c>
      <c r="F3515" s="22">
        <v>2019</v>
      </c>
    </row>
    <row r="3516" spans="1:6" ht="15.75">
      <c r="A3516" s="22" t="s">
        <v>1441</v>
      </c>
      <c r="B3516" s="26">
        <v>43566</v>
      </c>
      <c r="C3516" s="27">
        <v>40.08</v>
      </c>
      <c r="D3516" s="25" t="str">
        <f t="shared" si="108"/>
        <v>201915</v>
      </c>
      <c r="E3516" s="22" t="str">
        <f t="shared" ca="1" si="109"/>
        <v>201904</v>
      </c>
      <c r="F3516" s="22">
        <v>2019</v>
      </c>
    </row>
    <row r="3517" spans="1:6" ht="15.75">
      <c r="A3517" s="22" t="s">
        <v>1442</v>
      </c>
      <c r="B3517" s="23">
        <v>43567</v>
      </c>
      <c r="C3517" s="24">
        <v>6.56</v>
      </c>
      <c r="D3517" s="25" t="str">
        <f t="shared" si="108"/>
        <v>201915</v>
      </c>
      <c r="E3517" s="22" t="str">
        <f t="shared" ca="1" si="109"/>
        <v>201904</v>
      </c>
      <c r="F3517" s="22">
        <v>2019</v>
      </c>
    </row>
    <row r="3518" spans="1:6" ht="15.75">
      <c r="A3518" s="22" t="s">
        <v>1442</v>
      </c>
      <c r="B3518" s="23">
        <v>43567</v>
      </c>
      <c r="C3518" s="24">
        <v>0</v>
      </c>
      <c r="D3518" s="25" t="str">
        <f t="shared" si="108"/>
        <v>201915</v>
      </c>
      <c r="E3518" s="22" t="str">
        <f t="shared" ca="1" si="109"/>
        <v>201904</v>
      </c>
      <c r="F3518" s="22">
        <v>2019</v>
      </c>
    </row>
    <row r="3519" spans="1:6" ht="15.75">
      <c r="A3519" s="22" t="s">
        <v>1443</v>
      </c>
      <c r="B3519" s="20">
        <v>43567</v>
      </c>
      <c r="C3519" s="21">
        <v>74.400000691413894</v>
      </c>
      <c r="D3519" s="25" t="str">
        <f t="shared" si="108"/>
        <v>201915</v>
      </c>
      <c r="E3519" s="22" t="str">
        <f t="shared" ca="1" si="109"/>
        <v>201904</v>
      </c>
      <c r="F3519" s="22">
        <v>2019</v>
      </c>
    </row>
    <row r="3520" spans="1:6" ht="15.75">
      <c r="A3520" s="22" t="s">
        <v>1441</v>
      </c>
      <c r="B3520" s="26">
        <v>43567</v>
      </c>
      <c r="C3520" s="27">
        <v>39.79</v>
      </c>
      <c r="D3520" s="25" t="str">
        <f t="shared" si="108"/>
        <v>201915</v>
      </c>
      <c r="E3520" s="22" t="str">
        <f t="shared" ca="1" si="109"/>
        <v>201904</v>
      </c>
      <c r="F3520" s="22">
        <v>2019</v>
      </c>
    </row>
    <row r="3521" spans="1:6" ht="15.75">
      <c r="A3521" s="22" t="s">
        <v>1442</v>
      </c>
      <c r="B3521" s="23">
        <v>43568</v>
      </c>
      <c r="C3521" s="24">
        <v>3.41</v>
      </c>
      <c r="D3521" s="25" t="str">
        <f t="shared" si="108"/>
        <v>201915</v>
      </c>
      <c r="E3521" s="22" t="str">
        <f t="shared" ca="1" si="109"/>
        <v>201904</v>
      </c>
      <c r="F3521" s="22">
        <v>2019</v>
      </c>
    </row>
    <row r="3522" spans="1:6" ht="15.75">
      <c r="A3522" s="22" t="s">
        <v>1442</v>
      </c>
      <c r="B3522" s="23">
        <v>43568</v>
      </c>
      <c r="C3522" s="24">
        <v>0</v>
      </c>
      <c r="D3522" s="25" t="str">
        <f t="shared" si="108"/>
        <v>201915</v>
      </c>
      <c r="E3522" s="22" t="str">
        <f t="shared" ca="1" si="109"/>
        <v>201904</v>
      </c>
      <c r="F3522" s="22">
        <v>2019</v>
      </c>
    </row>
    <row r="3523" spans="1:6" ht="15.75">
      <c r="A3523" s="22" t="s">
        <v>1443</v>
      </c>
      <c r="B3523" s="20">
        <v>43568</v>
      </c>
      <c r="C3523" s="21">
        <v>77.200001001358004</v>
      </c>
      <c r="D3523" s="25" t="str">
        <f t="shared" ref="D3523:D3586" si="110">CONCATENATE(YEAR(B3523-WEEKDAY(B3523,3)+3),TEXT(WEEKNUM(B3523,21),"00"))</f>
        <v>201915</v>
      </c>
      <c r="E3523" s="22" t="str">
        <f t="shared" ref="E3523:E3586" ca="1" si="111">IF(
  AND(
    YEAR(B3523)=YEAR(TODAY())-1,
    MONTH(B3523)=MONTH(TODAY()),
    DAY(B3523)&gt;DAY($H$2)
  ),
  0,
  CONCATENATE(YEAR(B3523),TEXT(MONTH(B3523),"00"))
)</f>
        <v>201904</v>
      </c>
      <c r="F3523" s="22">
        <v>2019</v>
      </c>
    </row>
    <row r="3524" spans="1:6" ht="15.75">
      <c r="A3524" s="22" t="s">
        <v>1441</v>
      </c>
      <c r="B3524" s="26">
        <v>43568</v>
      </c>
      <c r="C3524" s="27">
        <v>39.89</v>
      </c>
      <c r="D3524" s="25" t="str">
        <f t="shared" si="110"/>
        <v>201915</v>
      </c>
      <c r="E3524" s="22" t="str">
        <f t="shared" ca="1" si="111"/>
        <v>201904</v>
      </c>
      <c r="F3524" s="22">
        <v>2019</v>
      </c>
    </row>
    <row r="3525" spans="1:6" ht="15.75">
      <c r="A3525" s="22" t="s">
        <v>1442</v>
      </c>
      <c r="B3525" s="23">
        <v>43569</v>
      </c>
      <c r="C3525" s="24">
        <v>3.24</v>
      </c>
      <c r="D3525" s="25" t="str">
        <f t="shared" si="110"/>
        <v>201915</v>
      </c>
      <c r="E3525" s="22" t="str">
        <f t="shared" ca="1" si="111"/>
        <v>201904</v>
      </c>
      <c r="F3525" s="22">
        <v>2019</v>
      </c>
    </row>
    <row r="3526" spans="1:6" ht="15.75">
      <c r="A3526" s="22" t="s">
        <v>1443</v>
      </c>
      <c r="B3526" s="20">
        <v>43569</v>
      </c>
      <c r="C3526" s="21">
        <v>95.600001156330094</v>
      </c>
      <c r="D3526" s="25" t="str">
        <f t="shared" si="110"/>
        <v>201915</v>
      </c>
      <c r="E3526" s="22" t="str">
        <f t="shared" ca="1" si="111"/>
        <v>201904</v>
      </c>
      <c r="F3526" s="22">
        <v>2019</v>
      </c>
    </row>
    <row r="3527" spans="1:6" ht="15.75">
      <c r="A3527" s="22" t="s">
        <v>1441</v>
      </c>
      <c r="B3527" s="26">
        <v>43569</v>
      </c>
      <c r="C3527" s="27">
        <v>39.979999999999997</v>
      </c>
      <c r="D3527" s="25" t="str">
        <f t="shared" si="110"/>
        <v>201915</v>
      </c>
      <c r="E3527" s="22" t="str">
        <f t="shared" ca="1" si="111"/>
        <v>201904</v>
      </c>
      <c r="F3527" s="22">
        <v>2019</v>
      </c>
    </row>
    <row r="3528" spans="1:6" ht="15.75">
      <c r="A3528" s="22" t="s">
        <v>1442</v>
      </c>
      <c r="B3528" s="23">
        <v>43570</v>
      </c>
      <c r="C3528" s="24">
        <v>4.83</v>
      </c>
      <c r="D3528" s="25" t="str">
        <f t="shared" si="110"/>
        <v>201916</v>
      </c>
      <c r="E3528" s="22" t="str">
        <f t="shared" ca="1" si="111"/>
        <v>201904</v>
      </c>
      <c r="F3528" s="22">
        <v>2019</v>
      </c>
    </row>
    <row r="3529" spans="1:6" ht="15.75">
      <c r="A3529" s="22" t="s">
        <v>1443</v>
      </c>
      <c r="B3529" s="20">
        <v>43570</v>
      </c>
      <c r="C3529" s="21">
        <v>121.600004553795</v>
      </c>
      <c r="D3529" s="25" t="str">
        <f t="shared" si="110"/>
        <v>201916</v>
      </c>
      <c r="E3529" s="22" t="str">
        <f t="shared" ca="1" si="111"/>
        <v>201904</v>
      </c>
      <c r="F3529" s="22">
        <v>2019</v>
      </c>
    </row>
    <row r="3530" spans="1:6" ht="15.75">
      <c r="A3530" s="22" t="s">
        <v>1441</v>
      </c>
      <c r="B3530" s="26">
        <v>43570</v>
      </c>
      <c r="C3530" s="27">
        <v>39.69</v>
      </c>
      <c r="D3530" s="25" t="str">
        <f t="shared" si="110"/>
        <v>201916</v>
      </c>
      <c r="E3530" s="22" t="str">
        <f t="shared" ca="1" si="111"/>
        <v>201904</v>
      </c>
      <c r="F3530" s="22">
        <v>2019</v>
      </c>
    </row>
    <row r="3531" spans="1:6" ht="15.75">
      <c r="A3531" s="22" t="s">
        <v>1442</v>
      </c>
      <c r="B3531" s="23">
        <v>43571</v>
      </c>
      <c r="C3531" s="24">
        <v>1.92</v>
      </c>
      <c r="D3531" s="25" t="str">
        <f t="shared" si="110"/>
        <v>201916</v>
      </c>
      <c r="E3531" s="22" t="str">
        <f t="shared" ca="1" si="111"/>
        <v>201904</v>
      </c>
      <c r="F3531" s="22">
        <v>2019</v>
      </c>
    </row>
    <row r="3532" spans="1:6" ht="15.75">
      <c r="A3532" s="22" t="s">
        <v>1442</v>
      </c>
      <c r="B3532" s="23">
        <v>43571</v>
      </c>
      <c r="C3532" s="24">
        <v>0</v>
      </c>
      <c r="D3532" s="25" t="str">
        <f t="shared" si="110"/>
        <v>201916</v>
      </c>
      <c r="E3532" s="22" t="str">
        <f t="shared" ca="1" si="111"/>
        <v>201904</v>
      </c>
      <c r="F3532" s="22">
        <v>2019</v>
      </c>
    </row>
    <row r="3533" spans="1:6" ht="15.75">
      <c r="A3533" s="22" t="s">
        <v>1443</v>
      </c>
      <c r="B3533" s="20">
        <v>43571</v>
      </c>
      <c r="C3533" s="21">
        <v>110.00000038743001</v>
      </c>
      <c r="D3533" s="25" t="str">
        <f t="shared" si="110"/>
        <v>201916</v>
      </c>
      <c r="E3533" s="22" t="str">
        <f t="shared" ca="1" si="111"/>
        <v>201904</v>
      </c>
      <c r="F3533" s="22">
        <v>2019</v>
      </c>
    </row>
    <row r="3534" spans="1:6" ht="15.75">
      <c r="A3534" s="22" t="s">
        <v>1441</v>
      </c>
      <c r="B3534" s="26">
        <v>43571</v>
      </c>
      <c r="C3534" s="27">
        <v>39.770000000000003</v>
      </c>
      <c r="D3534" s="25" t="str">
        <f t="shared" si="110"/>
        <v>201916</v>
      </c>
      <c r="E3534" s="22" t="str">
        <f t="shared" ca="1" si="111"/>
        <v>201904</v>
      </c>
      <c r="F3534" s="22">
        <v>2019</v>
      </c>
    </row>
    <row r="3535" spans="1:6" ht="15.75">
      <c r="A3535" s="22" t="s">
        <v>1442</v>
      </c>
      <c r="B3535" s="23">
        <v>43572</v>
      </c>
      <c r="C3535" s="24">
        <v>3.4</v>
      </c>
      <c r="D3535" s="25" t="str">
        <f t="shared" si="110"/>
        <v>201916</v>
      </c>
      <c r="E3535" s="22" t="str">
        <f t="shared" ca="1" si="111"/>
        <v>201904</v>
      </c>
      <c r="F3535" s="22">
        <v>2019</v>
      </c>
    </row>
    <row r="3536" spans="1:6" ht="15.75">
      <c r="A3536" s="22" t="s">
        <v>1443</v>
      </c>
      <c r="B3536" s="20">
        <v>43572</v>
      </c>
      <c r="C3536" s="21">
        <v>88.800002157688098</v>
      </c>
      <c r="D3536" s="25" t="str">
        <f t="shared" si="110"/>
        <v>201916</v>
      </c>
      <c r="E3536" s="22" t="str">
        <f t="shared" ca="1" si="111"/>
        <v>201904</v>
      </c>
      <c r="F3536" s="22">
        <v>2019</v>
      </c>
    </row>
    <row r="3537" spans="1:6" ht="15.75">
      <c r="A3537" s="22" t="s">
        <v>1441</v>
      </c>
      <c r="B3537" s="26">
        <v>43572</v>
      </c>
      <c r="C3537" s="27">
        <v>40.26</v>
      </c>
      <c r="D3537" s="25" t="str">
        <f t="shared" si="110"/>
        <v>201916</v>
      </c>
      <c r="E3537" s="22" t="str">
        <f t="shared" ca="1" si="111"/>
        <v>201904</v>
      </c>
      <c r="F3537" s="22">
        <v>2019</v>
      </c>
    </row>
    <row r="3538" spans="1:6" ht="15.75">
      <c r="A3538" s="22" t="s">
        <v>1442</v>
      </c>
      <c r="B3538" s="23">
        <v>43573</v>
      </c>
      <c r="C3538" s="24">
        <v>1.65</v>
      </c>
      <c r="D3538" s="25" t="str">
        <f t="shared" si="110"/>
        <v>201916</v>
      </c>
      <c r="E3538" s="22" t="str">
        <f t="shared" ca="1" si="111"/>
        <v>201904</v>
      </c>
      <c r="F3538" s="22">
        <v>2019</v>
      </c>
    </row>
    <row r="3539" spans="1:6" ht="15.75">
      <c r="A3539" s="22" t="s">
        <v>1442</v>
      </c>
      <c r="B3539" s="23">
        <v>43573</v>
      </c>
      <c r="C3539" s="24">
        <v>0</v>
      </c>
      <c r="D3539" s="25" t="str">
        <f t="shared" si="110"/>
        <v>201916</v>
      </c>
      <c r="E3539" s="22" t="str">
        <f t="shared" ca="1" si="111"/>
        <v>201904</v>
      </c>
      <c r="F3539" s="22">
        <v>2019</v>
      </c>
    </row>
    <row r="3540" spans="1:6" ht="15.75">
      <c r="A3540" s="22" t="s">
        <v>1443</v>
      </c>
      <c r="B3540" s="20">
        <v>43573</v>
      </c>
      <c r="C3540" s="21">
        <v>76.000001013279004</v>
      </c>
      <c r="D3540" s="25" t="str">
        <f t="shared" si="110"/>
        <v>201916</v>
      </c>
      <c r="E3540" s="22" t="str">
        <f t="shared" ca="1" si="111"/>
        <v>201904</v>
      </c>
      <c r="F3540" s="22">
        <v>2019</v>
      </c>
    </row>
    <row r="3541" spans="1:6" ht="15.75">
      <c r="A3541" s="22" t="s">
        <v>1441</v>
      </c>
      <c r="B3541" s="26">
        <v>43573</v>
      </c>
      <c r="C3541" s="27">
        <v>39.43</v>
      </c>
      <c r="D3541" s="25" t="str">
        <f t="shared" si="110"/>
        <v>201916</v>
      </c>
      <c r="E3541" s="22" t="str">
        <f t="shared" ca="1" si="111"/>
        <v>201904</v>
      </c>
      <c r="F3541" s="22">
        <v>2019</v>
      </c>
    </row>
    <row r="3542" spans="1:6" ht="15.75">
      <c r="A3542" s="22" t="s">
        <v>1442</v>
      </c>
      <c r="B3542" s="23">
        <v>43574</v>
      </c>
      <c r="C3542" s="24">
        <v>0.48</v>
      </c>
      <c r="D3542" s="25" t="str">
        <f t="shared" si="110"/>
        <v>201916</v>
      </c>
      <c r="E3542" s="22" t="str">
        <f t="shared" ca="1" si="111"/>
        <v>201904</v>
      </c>
      <c r="F3542" s="22">
        <v>2019</v>
      </c>
    </row>
    <row r="3543" spans="1:6" ht="15.75">
      <c r="A3543" s="22" t="s">
        <v>1443</v>
      </c>
      <c r="B3543" s="20">
        <v>43574</v>
      </c>
      <c r="C3543" s="21">
        <v>72.800002098083496</v>
      </c>
      <c r="D3543" s="25" t="str">
        <f t="shared" si="110"/>
        <v>201916</v>
      </c>
      <c r="E3543" s="22" t="str">
        <f t="shared" ca="1" si="111"/>
        <v>201904</v>
      </c>
      <c r="F3543" s="22">
        <v>2019</v>
      </c>
    </row>
    <row r="3544" spans="1:6" ht="15.75">
      <c r="A3544" s="22" t="s">
        <v>1441</v>
      </c>
      <c r="B3544" s="26">
        <v>43574</v>
      </c>
      <c r="C3544" s="27">
        <v>39.69</v>
      </c>
      <c r="D3544" s="25" t="str">
        <f t="shared" si="110"/>
        <v>201916</v>
      </c>
      <c r="E3544" s="22" t="str">
        <f t="shared" ca="1" si="111"/>
        <v>201904</v>
      </c>
      <c r="F3544" s="22">
        <v>2019</v>
      </c>
    </row>
    <row r="3545" spans="1:6" ht="15.75">
      <c r="A3545" s="22" t="s">
        <v>1442</v>
      </c>
      <c r="B3545" s="23">
        <v>43575</v>
      </c>
      <c r="C3545" s="24">
        <v>0.92</v>
      </c>
      <c r="D3545" s="25" t="str">
        <f t="shared" si="110"/>
        <v>201916</v>
      </c>
      <c r="E3545" s="22" t="str">
        <f t="shared" ca="1" si="111"/>
        <v>201904</v>
      </c>
      <c r="F3545" s="22">
        <v>2019</v>
      </c>
    </row>
    <row r="3546" spans="1:6" ht="15.75">
      <c r="A3546" s="22" t="s">
        <v>1442</v>
      </c>
      <c r="B3546" s="23">
        <v>43575</v>
      </c>
      <c r="C3546" s="24">
        <v>0</v>
      </c>
      <c r="D3546" s="25" t="str">
        <f t="shared" si="110"/>
        <v>201916</v>
      </c>
      <c r="E3546" s="22" t="str">
        <f t="shared" ca="1" si="111"/>
        <v>201904</v>
      </c>
      <c r="F3546" s="22">
        <v>2019</v>
      </c>
    </row>
    <row r="3547" spans="1:6" ht="15.75">
      <c r="A3547" s="22" t="s">
        <v>1443</v>
      </c>
      <c r="B3547" s="20">
        <v>43575</v>
      </c>
      <c r="C3547" s="21">
        <v>79.999999672174496</v>
      </c>
      <c r="D3547" s="25" t="str">
        <f t="shared" si="110"/>
        <v>201916</v>
      </c>
      <c r="E3547" s="22" t="str">
        <f t="shared" ca="1" si="111"/>
        <v>201904</v>
      </c>
      <c r="F3547" s="22">
        <v>2019</v>
      </c>
    </row>
    <row r="3548" spans="1:6" ht="15.75">
      <c r="A3548" s="22" t="s">
        <v>1441</v>
      </c>
      <c r="B3548" s="26">
        <v>43575</v>
      </c>
      <c r="C3548" s="27">
        <v>41.18</v>
      </c>
      <c r="D3548" s="25" t="str">
        <f t="shared" si="110"/>
        <v>201916</v>
      </c>
      <c r="E3548" s="22" t="str">
        <f t="shared" ca="1" si="111"/>
        <v>201904</v>
      </c>
      <c r="F3548" s="22">
        <v>2019</v>
      </c>
    </row>
    <row r="3549" spans="1:6" ht="15.75">
      <c r="A3549" s="22" t="s">
        <v>1442</v>
      </c>
      <c r="B3549" s="23">
        <v>43576</v>
      </c>
      <c r="C3549" s="24">
        <v>4.5999999999999996</v>
      </c>
      <c r="D3549" s="25" t="str">
        <f t="shared" si="110"/>
        <v>201916</v>
      </c>
      <c r="E3549" s="22" t="str">
        <f t="shared" ca="1" si="111"/>
        <v>201904</v>
      </c>
      <c r="F3549" s="22">
        <v>2019</v>
      </c>
    </row>
    <row r="3550" spans="1:6" ht="15.75">
      <c r="A3550" s="22" t="s">
        <v>1442</v>
      </c>
      <c r="B3550" s="23">
        <v>43576</v>
      </c>
      <c r="C3550" s="24">
        <v>0</v>
      </c>
      <c r="D3550" s="25" t="str">
        <f t="shared" si="110"/>
        <v>201916</v>
      </c>
      <c r="E3550" s="22" t="str">
        <f t="shared" ca="1" si="111"/>
        <v>201904</v>
      </c>
      <c r="F3550" s="22">
        <v>2019</v>
      </c>
    </row>
    <row r="3551" spans="1:6" ht="15.75">
      <c r="A3551" s="22" t="s">
        <v>1443</v>
      </c>
      <c r="B3551" s="20">
        <v>43576</v>
      </c>
      <c r="C3551" s="21">
        <v>99.200000762939496</v>
      </c>
      <c r="D3551" s="25" t="str">
        <f t="shared" si="110"/>
        <v>201916</v>
      </c>
      <c r="E3551" s="22" t="str">
        <f t="shared" ca="1" si="111"/>
        <v>201904</v>
      </c>
      <c r="F3551" s="22">
        <v>2019</v>
      </c>
    </row>
    <row r="3552" spans="1:6" ht="15.75">
      <c r="A3552" s="22" t="s">
        <v>1441</v>
      </c>
      <c r="B3552" s="26">
        <v>43576</v>
      </c>
      <c r="C3552" s="27">
        <v>39.549999999999997</v>
      </c>
      <c r="D3552" s="25" t="str">
        <f t="shared" si="110"/>
        <v>201916</v>
      </c>
      <c r="E3552" s="22" t="str">
        <f t="shared" ca="1" si="111"/>
        <v>201904</v>
      </c>
      <c r="F3552" s="22">
        <v>2019</v>
      </c>
    </row>
    <row r="3553" spans="1:6" ht="15.75">
      <c r="A3553" s="22" t="s">
        <v>1442</v>
      </c>
      <c r="B3553" s="23">
        <v>43577</v>
      </c>
      <c r="C3553" s="24">
        <v>4.7</v>
      </c>
      <c r="D3553" s="25" t="str">
        <f t="shared" si="110"/>
        <v>201917</v>
      </c>
      <c r="E3553" s="22" t="str">
        <f t="shared" ca="1" si="111"/>
        <v>201904</v>
      </c>
      <c r="F3553" s="22">
        <v>2019</v>
      </c>
    </row>
    <row r="3554" spans="1:6" ht="15.75">
      <c r="A3554" s="22" t="s">
        <v>1442</v>
      </c>
      <c r="B3554" s="23">
        <v>43577</v>
      </c>
      <c r="C3554" s="24">
        <v>0</v>
      </c>
      <c r="D3554" s="25" t="str">
        <f t="shared" si="110"/>
        <v>201917</v>
      </c>
      <c r="E3554" s="22" t="str">
        <f t="shared" ca="1" si="111"/>
        <v>201904</v>
      </c>
      <c r="F3554" s="22">
        <v>2019</v>
      </c>
    </row>
    <row r="3555" spans="1:6" ht="15.75">
      <c r="A3555" s="22" t="s">
        <v>1443</v>
      </c>
      <c r="B3555" s="20">
        <v>43577</v>
      </c>
      <c r="C3555" s="21">
        <v>137.20000314712499</v>
      </c>
      <c r="D3555" s="25" t="str">
        <f t="shared" si="110"/>
        <v>201917</v>
      </c>
      <c r="E3555" s="22" t="str">
        <f t="shared" ca="1" si="111"/>
        <v>201904</v>
      </c>
      <c r="F3555" s="22">
        <v>2019</v>
      </c>
    </row>
    <row r="3556" spans="1:6" ht="15.75">
      <c r="A3556" s="22" t="s">
        <v>1441</v>
      </c>
      <c r="B3556" s="26">
        <v>43577</v>
      </c>
      <c r="C3556" s="27">
        <v>39.58</v>
      </c>
      <c r="D3556" s="25" t="str">
        <f t="shared" si="110"/>
        <v>201917</v>
      </c>
      <c r="E3556" s="22" t="str">
        <f t="shared" ca="1" si="111"/>
        <v>201904</v>
      </c>
      <c r="F3556" s="22">
        <v>2019</v>
      </c>
    </row>
    <row r="3557" spans="1:6" ht="15.75">
      <c r="A3557" s="22" t="s">
        <v>1442</v>
      </c>
      <c r="B3557" s="23">
        <v>43578</v>
      </c>
      <c r="C3557" s="24">
        <v>4.45</v>
      </c>
      <c r="D3557" s="25" t="str">
        <f t="shared" si="110"/>
        <v>201917</v>
      </c>
      <c r="E3557" s="22" t="str">
        <f t="shared" ca="1" si="111"/>
        <v>201904</v>
      </c>
      <c r="F3557" s="22">
        <v>2019</v>
      </c>
    </row>
    <row r="3558" spans="1:6" ht="15.75">
      <c r="A3558" s="22" t="s">
        <v>1442</v>
      </c>
      <c r="B3558" s="23">
        <v>43578</v>
      </c>
      <c r="C3558" s="24">
        <v>0.08</v>
      </c>
      <c r="D3558" s="25" t="str">
        <f t="shared" si="110"/>
        <v>201917</v>
      </c>
      <c r="E3558" s="22" t="str">
        <f t="shared" ca="1" si="111"/>
        <v>201904</v>
      </c>
      <c r="F3558" s="22">
        <v>2019</v>
      </c>
    </row>
    <row r="3559" spans="1:6" ht="15.75">
      <c r="A3559" s="22" t="s">
        <v>1443</v>
      </c>
      <c r="B3559" s="20">
        <v>43578</v>
      </c>
      <c r="C3559" s="21">
        <v>140.00000181794201</v>
      </c>
      <c r="D3559" s="25" t="str">
        <f t="shared" si="110"/>
        <v>201917</v>
      </c>
      <c r="E3559" s="22" t="str">
        <f t="shared" ca="1" si="111"/>
        <v>201904</v>
      </c>
      <c r="F3559" s="22">
        <v>2019</v>
      </c>
    </row>
    <row r="3560" spans="1:6" ht="15.75">
      <c r="A3560" s="22" t="s">
        <v>1441</v>
      </c>
      <c r="B3560" s="26">
        <v>43578</v>
      </c>
      <c r="C3560" s="27">
        <v>39.57</v>
      </c>
      <c r="D3560" s="25" t="str">
        <f t="shared" si="110"/>
        <v>201917</v>
      </c>
      <c r="E3560" s="22" t="str">
        <f t="shared" ca="1" si="111"/>
        <v>201904</v>
      </c>
      <c r="F3560" s="22">
        <v>2019</v>
      </c>
    </row>
    <row r="3561" spans="1:6" ht="15.75">
      <c r="A3561" s="22" t="s">
        <v>1442</v>
      </c>
      <c r="B3561" s="23">
        <v>43579</v>
      </c>
      <c r="C3561" s="24">
        <v>5.08</v>
      </c>
      <c r="D3561" s="25" t="str">
        <f t="shared" si="110"/>
        <v>201917</v>
      </c>
      <c r="E3561" s="22" t="str">
        <f t="shared" ca="1" si="111"/>
        <v>201904</v>
      </c>
      <c r="F3561" s="22">
        <v>2019</v>
      </c>
    </row>
    <row r="3562" spans="1:6" ht="15.75">
      <c r="A3562" s="22" t="s">
        <v>1443</v>
      </c>
      <c r="B3562" s="20">
        <v>43579</v>
      </c>
      <c r="C3562" s="21">
        <v>105.600003540516</v>
      </c>
      <c r="D3562" s="25" t="str">
        <f t="shared" si="110"/>
        <v>201917</v>
      </c>
      <c r="E3562" s="22" t="str">
        <f t="shared" ca="1" si="111"/>
        <v>201904</v>
      </c>
      <c r="F3562" s="22">
        <v>2019</v>
      </c>
    </row>
    <row r="3563" spans="1:6" ht="15.75">
      <c r="A3563" s="22" t="s">
        <v>1441</v>
      </c>
      <c r="B3563" s="26">
        <v>43579</v>
      </c>
      <c r="C3563" s="27">
        <v>28.95</v>
      </c>
      <c r="D3563" s="25" t="str">
        <f t="shared" si="110"/>
        <v>201917</v>
      </c>
      <c r="E3563" s="22" t="str">
        <f t="shared" ca="1" si="111"/>
        <v>201904</v>
      </c>
      <c r="F3563" s="22">
        <v>2019</v>
      </c>
    </row>
    <row r="3564" spans="1:6" ht="15.75">
      <c r="A3564" s="22" t="s">
        <v>1442</v>
      </c>
      <c r="B3564" s="23">
        <v>43580</v>
      </c>
      <c r="C3564" s="24">
        <v>3.42</v>
      </c>
      <c r="D3564" s="25" t="str">
        <f t="shared" si="110"/>
        <v>201917</v>
      </c>
      <c r="E3564" s="22" t="str">
        <f t="shared" ca="1" si="111"/>
        <v>201904</v>
      </c>
      <c r="F3564" s="22">
        <v>2019</v>
      </c>
    </row>
    <row r="3565" spans="1:6" ht="15.75">
      <c r="A3565" s="22" t="s">
        <v>1442</v>
      </c>
      <c r="B3565" s="23">
        <v>43580</v>
      </c>
      <c r="C3565" s="24">
        <v>0</v>
      </c>
      <c r="D3565" s="25" t="str">
        <f t="shared" si="110"/>
        <v>201917</v>
      </c>
      <c r="E3565" s="22" t="str">
        <f t="shared" ca="1" si="111"/>
        <v>201904</v>
      </c>
      <c r="F3565" s="22">
        <v>2019</v>
      </c>
    </row>
    <row r="3566" spans="1:6" ht="15.75">
      <c r="A3566" s="22" t="s">
        <v>1443</v>
      </c>
      <c r="B3566" s="20">
        <v>43580</v>
      </c>
      <c r="C3566" s="21">
        <v>104.000004738569</v>
      </c>
      <c r="D3566" s="25" t="str">
        <f t="shared" si="110"/>
        <v>201917</v>
      </c>
      <c r="E3566" s="22" t="str">
        <f t="shared" ca="1" si="111"/>
        <v>201904</v>
      </c>
      <c r="F3566" s="22">
        <v>2019</v>
      </c>
    </row>
    <row r="3567" spans="1:6" ht="15.75">
      <c r="A3567" s="22" t="s">
        <v>1441</v>
      </c>
      <c r="B3567" s="26">
        <v>43580</v>
      </c>
      <c r="C3567" s="27">
        <v>20.010000000000002</v>
      </c>
      <c r="D3567" s="25" t="str">
        <f t="shared" si="110"/>
        <v>201917</v>
      </c>
      <c r="E3567" s="22" t="str">
        <f t="shared" ca="1" si="111"/>
        <v>201904</v>
      </c>
      <c r="F3567" s="22">
        <v>2019</v>
      </c>
    </row>
    <row r="3568" spans="1:6" ht="15.75">
      <c r="A3568" s="22" t="s">
        <v>1442</v>
      </c>
      <c r="B3568" s="23">
        <v>43581</v>
      </c>
      <c r="C3568" s="24">
        <v>4.6500000000000004</v>
      </c>
      <c r="D3568" s="25" t="str">
        <f t="shared" si="110"/>
        <v>201917</v>
      </c>
      <c r="E3568" s="22" t="str">
        <f t="shared" ca="1" si="111"/>
        <v>201904</v>
      </c>
      <c r="F3568" s="22">
        <v>2019</v>
      </c>
    </row>
    <row r="3569" spans="1:6" ht="15.75">
      <c r="A3569" s="22" t="s">
        <v>1443</v>
      </c>
      <c r="B3569" s="20">
        <v>43581</v>
      </c>
      <c r="C3569" s="21">
        <v>115.200003683567</v>
      </c>
      <c r="D3569" s="25" t="str">
        <f t="shared" si="110"/>
        <v>201917</v>
      </c>
      <c r="E3569" s="22" t="str">
        <f t="shared" ca="1" si="111"/>
        <v>201904</v>
      </c>
      <c r="F3569" s="22">
        <v>2019</v>
      </c>
    </row>
    <row r="3570" spans="1:6" ht="15.75">
      <c r="A3570" s="22" t="s">
        <v>1441</v>
      </c>
      <c r="B3570" s="26">
        <v>43581</v>
      </c>
      <c r="C3570" s="27">
        <v>19.57</v>
      </c>
      <c r="D3570" s="25" t="str">
        <f t="shared" si="110"/>
        <v>201917</v>
      </c>
      <c r="E3570" s="22" t="str">
        <f t="shared" ca="1" si="111"/>
        <v>201904</v>
      </c>
      <c r="F3570" s="22">
        <v>2019</v>
      </c>
    </row>
    <row r="3571" spans="1:6" ht="15.75">
      <c r="A3571" s="22" t="s">
        <v>1442</v>
      </c>
      <c r="B3571" s="23">
        <v>43582</v>
      </c>
      <c r="C3571" s="24">
        <v>4.3099999999999996</v>
      </c>
      <c r="D3571" s="25" t="str">
        <f t="shared" si="110"/>
        <v>201917</v>
      </c>
      <c r="E3571" s="22" t="str">
        <f t="shared" ca="1" si="111"/>
        <v>201904</v>
      </c>
      <c r="F3571" s="22">
        <v>2019</v>
      </c>
    </row>
    <row r="3572" spans="1:6" ht="15.75">
      <c r="A3572" s="22" t="s">
        <v>1443</v>
      </c>
      <c r="B3572" s="20">
        <v>43582</v>
      </c>
      <c r="C3572" s="21">
        <v>83.600000351667404</v>
      </c>
      <c r="D3572" s="25" t="str">
        <f t="shared" si="110"/>
        <v>201917</v>
      </c>
      <c r="E3572" s="22" t="str">
        <f t="shared" ca="1" si="111"/>
        <v>201904</v>
      </c>
      <c r="F3572" s="22">
        <v>2019</v>
      </c>
    </row>
    <row r="3573" spans="1:6" ht="15.75">
      <c r="A3573" s="22" t="s">
        <v>1441</v>
      </c>
      <c r="B3573" s="26">
        <v>43582</v>
      </c>
      <c r="C3573" s="27">
        <v>20.440000000000001</v>
      </c>
      <c r="D3573" s="25" t="str">
        <f t="shared" si="110"/>
        <v>201917</v>
      </c>
      <c r="E3573" s="22" t="str">
        <f t="shared" ca="1" si="111"/>
        <v>201904</v>
      </c>
      <c r="F3573" s="22">
        <v>2019</v>
      </c>
    </row>
    <row r="3574" spans="1:6" ht="15.75">
      <c r="A3574" s="22" t="s">
        <v>1442</v>
      </c>
      <c r="B3574" s="23">
        <v>43583</v>
      </c>
      <c r="C3574" s="24">
        <v>5.08</v>
      </c>
      <c r="D3574" s="25" t="str">
        <f t="shared" si="110"/>
        <v>201917</v>
      </c>
      <c r="E3574" s="22" t="str">
        <f t="shared" ca="1" si="111"/>
        <v>201904</v>
      </c>
      <c r="F3574" s="22">
        <v>2019</v>
      </c>
    </row>
    <row r="3575" spans="1:6" ht="15.75">
      <c r="A3575" s="22" t="s">
        <v>1443</v>
      </c>
      <c r="B3575" s="20">
        <v>43583</v>
      </c>
      <c r="C3575" s="21">
        <v>102.800003647804</v>
      </c>
      <c r="D3575" s="25" t="str">
        <f t="shared" si="110"/>
        <v>201917</v>
      </c>
      <c r="E3575" s="22" t="str">
        <f t="shared" ca="1" si="111"/>
        <v>201904</v>
      </c>
      <c r="F3575" s="22">
        <v>2019</v>
      </c>
    </row>
    <row r="3576" spans="1:6" ht="15.75">
      <c r="A3576" s="22" t="s">
        <v>1441</v>
      </c>
      <c r="B3576" s="26">
        <v>43583</v>
      </c>
      <c r="C3576" s="27">
        <v>19.920000000000002</v>
      </c>
      <c r="D3576" s="25" t="str">
        <f t="shared" si="110"/>
        <v>201917</v>
      </c>
      <c r="E3576" s="22" t="str">
        <f t="shared" ca="1" si="111"/>
        <v>201904</v>
      </c>
      <c r="F3576" s="22">
        <v>2019</v>
      </c>
    </row>
    <row r="3577" spans="1:6" ht="15.75">
      <c r="A3577" s="22" t="s">
        <v>1442</v>
      </c>
      <c r="B3577" s="23">
        <v>43584</v>
      </c>
      <c r="C3577" s="24">
        <v>4.8</v>
      </c>
      <c r="D3577" s="25" t="str">
        <f t="shared" si="110"/>
        <v>201918</v>
      </c>
      <c r="E3577" s="22" t="str">
        <f t="shared" ca="1" si="111"/>
        <v>201904</v>
      </c>
      <c r="F3577" s="22">
        <v>2019</v>
      </c>
    </row>
    <row r="3578" spans="1:6" ht="15.75">
      <c r="A3578" s="22" t="s">
        <v>1443</v>
      </c>
      <c r="B3578" s="20">
        <v>43584</v>
      </c>
      <c r="C3578" s="21">
        <v>143.199999958277</v>
      </c>
      <c r="D3578" s="25" t="str">
        <f t="shared" si="110"/>
        <v>201918</v>
      </c>
      <c r="E3578" s="22" t="str">
        <f t="shared" ca="1" si="111"/>
        <v>201904</v>
      </c>
      <c r="F3578" s="22">
        <v>2019</v>
      </c>
    </row>
    <row r="3579" spans="1:6" ht="15.75">
      <c r="A3579" s="22" t="s">
        <v>1441</v>
      </c>
      <c r="B3579" s="26">
        <v>43584</v>
      </c>
      <c r="C3579" s="27">
        <v>32.44</v>
      </c>
      <c r="D3579" s="25" t="str">
        <f t="shared" si="110"/>
        <v>201918</v>
      </c>
      <c r="E3579" s="22" t="str">
        <f t="shared" ca="1" si="111"/>
        <v>201904</v>
      </c>
      <c r="F3579" s="22">
        <v>2019</v>
      </c>
    </row>
    <row r="3580" spans="1:6" ht="15.75">
      <c r="A3580" s="22" t="s">
        <v>1442</v>
      </c>
      <c r="B3580" s="23">
        <v>43585</v>
      </c>
      <c r="C3580" s="24">
        <v>5.0199999999999996</v>
      </c>
      <c r="D3580" s="25" t="str">
        <f t="shared" si="110"/>
        <v>201918</v>
      </c>
      <c r="E3580" s="22" t="str">
        <f t="shared" ca="1" si="111"/>
        <v>201904</v>
      </c>
      <c r="F3580" s="22">
        <v>2019</v>
      </c>
    </row>
    <row r="3581" spans="1:6" ht="15.75">
      <c r="A3581" s="22" t="s">
        <v>1442</v>
      </c>
      <c r="B3581" s="23">
        <v>43585</v>
      </c>
      <c r="C3581" s="24">
        <v>0</v>
      </c>
      <c r="D3581" s="25" t="str">
        <f t="shared" si="110"/>
        <v>201918</v>
      </c>
      <c r="E3581" s="22" t="str">
        <f t="shared" ca="1" si="111"/>
        <v>201904</v>
      </c>
      <c r="F3581" s="22">
        <v>2019</v>
      </c>
    </row>
    <row r="3582" spans="1:6" ht="15.75">
      <c r="A3582" s="22" t="s">
        <v>1443</v>
      </c>
      <c r="B3582" s="20">
        <v>43585</v>
      </c>
      <c r="C3582" s="21">
        <v>156.00000753998799</v>
      </c>
      <c r="D3582" s="25" t="str">
        <f t="shared" si="110"/>
        <v>201918</v>
      </c>
      <c r="E3582" s="22" t="str">
        <f t="shared" ca="1" si="111"/>
        <v>201904</v>
      </c>
      <c r="F3582" s="22">
        <v>2019</v>
      </c>
    </row>
    <row r="3583" spans="1:6" ht="15.75">
      <c r="A3583" s="22" t="s">
        <v>1441</v>
      </c>
      <c r="B3583" s="26">
        <v>43585</v>
      </c>
      <c r="C3583" s="27">
        <v>28.92</v>
      </c>
      <c r="D3583" s="25" t="str">
        <f t="shared" si="110"/>
        <v>201918</v>
      </c>
      <c r="E3583" s="22" t="str">
        <f t="shared" ca="1" si="111"/>
        <v>201904</v>
      </c>
      <c r="F3583" s="22">
        <v>2019</v>
      </c>
    </row>
    <row r="3584" spans="1:6" ht="15.75">
      <c r="A3584" s="22" t="s">
        <v>1442</v>
      </c>
      <c r="B3584" s="23">
        <v>43586</v>
      </c>
      <c r="C3584" s="24">
        <v>5.29</v>
      </c>
      <c r="D3584" s="25" t="str">
        <f t="shared" si="110"/>
        <v>201918</v>
      </c>
      <c r="E3584" s="22" t="str">
        <f t="shared" ca="1" si="111"/>
        <v>201905</v>
      </c>
      <c r="F3584" s="22">
        <v>2019</v>
      </c>
    </row>
    <row r="3585" spans="1:6" ht="15.75">
      <c r="A3585" s="22" t="s">
        <v>1442</v>
      </c>
      <c r="B3585" s="23">
        <v>43586</v>
      </c>
      <c r="C3585" s="24">
        <v>0</v>
      </c>
      <c r="D3585" s="25" t="str">
        <f t="shared" si="110"/>
        <v>201918</v>
      </c>
      <c r="E3585" s="22" t="str">
        <f t="shared" ca="1" si="111"/>
        <v>201905</v>
      </c>
      <c r="F3585" s="22">
        <v>2019</v>
      </c>
    </row>
    <row r="3586" spans="1:6" ht="15.75">
      <c r="A3586" s="22" t="s">
        <v>1443</v>
      </c>
      <c r="B3586" s="20">
        <v>43586</v>
      </c>
      <c r="C3586" s="21">
        <v>170.800004601479</v>
      </c>
      <c r="D3586" s="25" t="str">
        <f t="shared" si="110"/>
        <v>201918</v>
      </c>
      <c r="E3586" s="22" t="str">
        <f t="shared" ca="1" si="111"/>
        <v>201905</v>
      </c>
      <c r="F3586" s="22">
        <v>2019</v>
      </c>
    </row>
    <row r="3587" spans="1:6" ht="15.75">
      <c r="A3587" s="22" t="s">
        <v>1441</v>
      </c>
      <c r="B3587" s="26">
        <v>43586</v>
      </c>
      <c r="C3587" s="27">
        <v>28.74</v>
      </c>
      <c r="D3587" s="25" t="str">
        <f t="shared" ref="D3587:D3650" si="112">CONCATENATE(YEAR(B3587-WEEKDAY(B3587,3)+3),TEXT(WEEKNUM(B3587,21),"00"))</f>
        <v>201918</v>
      </c>
      <c r="E3587" s="22" t="str">
        <f t="shared" ref="E3587:E3650" ca="1" si="113">IF(
  AND(
    YEAR(B3587)=YEAR(TODAY())-1,
    MONTH(B3587)=MONTH(TODAY()),
    DAY(B3587)&gt;DAY($H$2)
  ),
  0,
  CONCATENATE(YEAR(B3587),TEXT(MONTH(B3587),"00"))
)</f>
        <v>201905</v>
      </c>
      <c r="F3587" s="22">
        <v>2019</v>
      </c>
    </row>
    <row r="3588" spans="1:6" ht="15.75">
      <c r="A3588" s="22" t="s">
        <v>1442</v>
      </c>
      <c r="B3588" s="23">
        <v>43587</v>
      </c>
      <c r="C3588" s="24">
        <v>5.58</v>
      </c>
      <c r="D3588" s="25" t="str">
        <f t="shared" si="112"/>
        <v>201918</v>
      </c>
      <c r="E3588" s="22" t="str">
        <f t="shared" ca="1" si="113"/>
        <v>201905</v>
      </c>
      <c r="F3588" s="22">
        <v>2019</v>
      </c>
    </row>
    <row r="3589" spans="1:6" ht="15.75">
      <c r="A3589" s="22" t="s">
        <v>1442</v>
      </c>
      <c r="B3589" s="23">
        <v>43587</v>
      </c>
      <c r="C3589" s="24">
        <v>0</v>
      </c>
      <c r="D3589" s="25" t="str">
        <f t="shared" si="112"/>
        <v>201918</v>
      </c>
      <c r="E3589" s="22" t="str">
        <f t="shared" ca="1" si="113"/>
        <v>201905</v>
      </c>
      <c r="F3589" s="22">
        <v>2019</v>
      </c>
    </row>
    <row r="3590" spans="1:6" ht="15.75">
      <c r="A3590" s="22" t="s">
        <v>1443</v>
      </c>
      <c r="B3590" s="20">
        <v>43587</v>
      </c>
      <c r="C3590" s="21">
        <v>152.800004482269</v>
      </c>
      <c r="D3590" s="25" t="str">
        <f t="shared" si="112"/>
        <v>201918</v>
      </c>
      <c r="E3590" s="22" t="str">
        <f t="shared" ca="1" si="113"/>
        <v>201905</v>
      </c>
      <c r="F3590" s="22">
        <v>2019</v>
      </c>
    </row>
    <row r="3591" spans="1:6" ht="15.75">
      <c r="A3591" s="22" t="s">
        <v>1441</v>
      </c>
      <c r="B3591" s="26">
        <v>43587</v>
      </c>
      <c r="C3591" s="27">
        <v>28.9</v>
      </c>
      <c r="D3591" s="25" t="str">
        <f t="shared" si="112"/>
        <v>201918</v>
      </c>
      <c r="E3591" s="22" t="str">
        <f t="shared" ca="1" si="113"/>
        <v>201905</v>
      </c>
      <c r="F3591" s="22">
        <v>2019</v>
      </c>
    </row>
    <row r="3592" spans="1:6" ht="15.75">
      <c r="A3592" s="22" t="s">
        <v>1442</v>
      </c>
      <c r="B3592" s="23">
        <v>43588</v>
      </c>
      <c r="C3592" s="24">
        <v>1.79</v>
      </c>
      <c r="D3592" s="25" t="str">
        <f t="shared" si="112"/>
        <v>201918</v>
      </c>
      <c r="E3592" s="22" t="str">
        <f t="shared" ca="1" si="113"/>
        <v>201905</v>
      </c>
      <c r="F3592" s="22">
        <v>2019</v>
      </c>
    </row>
    <row r="3593" spans="1:6" ht="15.75">
      <c r="A3593" s="22" t="s">
        <v>1442</v>
      </c>
      <c r="B3593" s="23">
        <v>43588</v>
      </c>
      <c r="C3593" s="24">
        <v>0</v>
      </c>
      <c r="D3593" s="25" t="str">
        <f t="shared" si="112"/>
        <v>201918</v>
      </c>
      <c r="E3593" s="22" t="str">
        <f t="shared" ca="1" si="113"/>
        <v>201905</v>
      </c>
      <c r="F3593" s="22">
        <v>2019</v>
      </c>
    </row>
    <row r="3594" spans="1:6" ht="15.75">
      <c r="A3594" s="22" t="s">
        <v>1443</v>
      </c>
      <c r="B3594" s="20">
        <v>43588</v>
      </c>
      <c r="C3594" s="21">
        <v>147.60000216960901</v>
      </c>
      <c r="D3594" s="25" t="str">
        <f t="shared" si="112"/>
        <v>201918</v>
      </c>
      <c r="E3594" s="22" t="str">
        <f t="shared" ca="1" si="113"/>
        <v>201905</v>
      </c>
      <c r="F3594" s="22">
        <v>2019</v>
      </c>
    </row>
    <row r="3595" spans="1:6" ht="15.75">
      <c r="A3595" s="22" t="s">
        <v>1441</v>
      </c>
      <c r="B3595" s="26">
        <v>43588</v>
      </c>
      <c r="C3595" s="27">
        <v>29.09</v>
      </c>
      <c r="D3595" s="25" t="str">
        <f t="shared" si="112"/>
        <v>201918</v>
      </c>
      <c r="E3595" s="22" t="str">
        <f t="shared" ca="1" si="113"/>
        <v>201905</v>
      </c>
      <c r="F3595" s="22">
        <v>2019</v>
      </c>
    </row>
    <row r="3596" spans="1:6" ht="15.75">
      <c r="A3596" s="22" t="s">
        <v>1442</v>
      </c>
      <c r="B3596" s="23">
        <v>43589</v>
      </c>
      <c r="C3596" s="24">
        <v>6.18</v>
      </c>
      <c r="D3596" s="25" t="str">
        <f t="shared" si="112"/>
        <v>201918</v>
      </c>
      <c r="E3596" s="22" t="str">
        <f t="shared" ca="1" si="113"/>
        <v>201905</v>
      </c>
      <c r="F3596" s="22">
        <v>2019</v>
      </c>
    </row>
    <row r="3597" spans="1:6" ht="15.75">
      <c r="A3597" s="22" t="s">
        <v>1442</v>
      </c>
      <c r="B3597" s="23">
        <v>43589</v>
      </c>
      <c r="C3597" s="24">
        <v>0</v>
      </c>
      <c r="D3597" s="25" t="str">
        <f t="shared" si="112"/>
        <v>201918</v>
      </c>
      <c r="E3597" s="22" t="str">
        <f t="shared" ca="1" si="113"/>
        <v>201905</v>
      </c>
      <c r="F3597" s="22">
        <v>2019</v>
      </c>
    </row>
    <row r="3598" spans="1:6" ht="15.75">
      <c r="A3598" s="22" t="s">
        <v>1443</v>
      </c>
      <c r="B3598" s="20">
        <v>43589</v>
      </c>
      <c r="C3598" s="21">
        <v>120.400001674891</v>
      </c>
      <c r="D3598" s="25" t="str">
        <f t="shared" si="112"/>
        <v>201918</v>
      </c>
      <c r="E3598" s="22" t="str">
        <f t="shared" ca="1" si="113"/>
        <v>201905</v>
      </c>
      <c r="F3598" s="22">
        <v>2019</v>
      </c>
    </row>
    <row r="3599" spans="1:6" ht="15.75">
      <c r="A3599" s="22" t="s">
        <v>1441</v>
      </c>
      <c r="B3599" s="26">
        <v>43589</v>
      </c>
      <c r="C3599" s="27">
        <v>28.97</v>
      </c>
      <c r="D3599" s="25" t="str">
        <f t="shared" si="112"/>
        <v>201918</v>
      </c>
      <c r="E3599" s="22" t="str">
        <f t="shared" ca="1" si="113"/>
        <v>201905</v>
      </c>
      <c r="F3599" s="22">
        <v>2019</v>
      </c>
    </row>
    <row r="3600" spans="1:6" ht="15.75">
      <c r="A3600" s="22" t="s">
        <v>1442</v>
      </c>
      <c r="B3600" s="23">
        <v>43590</v>
      </c>
      <c r="C3600" s="24">
        <v>7.68</v>
      </c>
      <c r="D3600" s="25" t="str">
        <f t="shared" si="112"/>
        <v>201918</v>
      </c>
      <c r="E3600" s="22" t="str">
        <f t="shared" ca="1" si="113"/>
        <v>201905</v>
      </c>
      <c r="F3600" s="22">
        <v>2019</v>
      </c>
    </row>
    <row r="3601" spans="1:6" ht="15.75">
      <c r="A3601" s="22" t="s">
        <v>1442</v>
      </c>
      <c r="B3601" s="23">
        <v>43590</v>
      </c>
      <c r="C3601" s="24">
        <v>0</v>
      </c>
      <c r="D3601" s="25" t="str">
        <f t="shared" si="112"/>
        <v>201918</v>
      </c>
      <c r="E3601" s="22" t="str">
        <f t="shared" ca="1" si="113"/>
        <v>201905</v>
      </c>
      <c r="F3601" s="22">
        <v>2019</v>
      </c>
    </row>
    <row r="3602" spans="1:6" ht="15.75">
      <c r="A3602" s="22" t="s">
        <v>1443</v>
      </c>
      <c r="B3602" s="20">
        <v>43590</v>
      </c>
      <c r="C3602" s="21">
        <v>138.80000400543199</v>
      </c>
      <c r="D3602" s="25" t="str">
        <f t="shared" si="112"/>
        <v>201918</v>
      </c>
      <c r="E3602" s="22" t="str">
        <f t="shared" ca="1" si="113"/>
        <v>201905</v>
      </c>
      <c r="F3602" s="22">
        <v>2019</v>
      </c>
    </row>
    <row r="3603" spans="1:6" ht="15.75">
      <c r="A3603" s="22" t="s">
        <v>1441</v>
      </c>
      <c r="B3603" s="26">
        <v>43590</v>
      </c>
      <c r="C3603" s="27">
        <v>24.55</v>
      </c>
      <c r="D3603" s="25" t="str">
        <f t="shared" si="112"/>
        <v>201918</v>
      </c>
      <c r="E3603" s="22" t="str">
        <f t="shared" ca="1" si="113"/>
        <v>201905</v>
      </c>
      <c r="F3603" s="22">
        <v>2019</v>
      </c>
    </row>
    <row r="3604" spans="1:6" ht="15.75">
      <c r="A3604" s="22" t="s">
        <v>1442</v>
      </c>
      <c r="B3604" s="23">
        <v>43591</v>
      </c>
      <c r="C3604" s="24">
        <v>8.8000000000000007</v>
      </c>
      <c r="D3604" s="25" t="str">
        <f t="shared" si="112"/>
        <v>201919</v>
      </c>
      <c r="E3604" s="22" t="str">
        <f t="shared" ca="1" si="113"/>
        <v>201905</v>
      </c>
      <c r="F3604" s="22">
        <v>2019</v>
      </c>
    </row>
    <row r="3605" spans="1:6" ht="15.75">
      <c r="A3605" s="22" t="s">
        <v>1442</v>
      </c>
      <c r="B3605" s="23">
        <v>43591</v>
      </c>
      <c r="C3605" s="24">
        <v>0</v>
      </c>
      <c r="D3605" s="25" t="str">
        <f t="shared" si="112"/>
        <v>201919</v>
      </c>
      <c r="E3605" s="22" t="str">
        <f t="shared" ca="1" si="113"/>
        <v>201905</v>
      </c>
      <c r="F3605" s="22">
        <v>2019</v>
      </c>
    </row>
    <row r="3606" spans="1:6" ht="15.75">
      <c r="A3606" s="22" t="s">
        <v>1443</v>
      </c>
      <c r="B3606" s="20">
        <v>43591</v>
      </c>
      <c r="C3606" s="21">
        <v>170.000004917383</v>
      </c>
      <c r="D3606" s="25" t="str">
        <f t="shared" si="112"/>
        <v>201919</v>
      </c>
      <c r="E3606" s="22" t="str">
        <f t="shared" ca="1" si="113"/>
        <v>201905</v>
      </c>
      <c r="F3606" s="22">
        <v>2019</v>
      </c>
    </row>
    <row r="3607" spans="1:6" ht="15.75">
      <c r="A3607" s="22" t="s">
        <v>1441</v>
      </c>
      <c r="B3607" s="26">
        <v>43591</v>
      </c>
      <c r="C3607" s="27">
        <v>24.19</v>
      </c>
      <c r="D3607" s="25" t="str">
        <f t="shared" si="112"/>
        <v>201919</v>
      </c>
      <c r="E3607" s="22" t="str">
        <f t="shared" ca="1" si="113"/>
        <v>201905</v>
      </c>
      <c r="F3607" s="22">
        <v>2019</v>
      </c>
    </row>
    <row r="3608" spans="1:6" ht="15.75">
      <c r="A3608" s="22" t="s">
        <v>1442</v>
      </c>
      <c r="B3608" s="23">
        <v>43592</v>
      </c>
      <c r="C3608" s="24">
        <v>7.64</v>
      </c>
      <c r="D3608" s="25" t="str">
        <f t="shared" si="112"/>
        <v>201919</v>
      </c>
      <c r="E3608" s="22" t="str">
        <f t="shared" ca="1" si="113"/>
        <v>201905</v>
      </c>
      <c r="F3608" s="22">
        <v>2019</v>
      </c>
    </row>
    <row r="3609" spans="1:6" ht="15.75">
      <c r="A3609" s="22" t="s">
        <v>1442</v>
      </c>
      <c r="B3609" s="23">
        <v>43592</v>
      </c>
      <c r="C3609" s="24">
        <v>0</v>
      </c>
      <c r="D3609" s="25" t="str">
        <f t="shared" si="112"/>
        <v>201919</v>
      </c>
      <c r="E3609" s="22" t="str">
        <f t="shared" ca="1" si="113"/>
        <v>201905</v>
      </c>
      <c r="F3609" s="22">
        <v>2019</v>
      </c>
    </row>
    <row r="3610" spans="1:6" ht="15.75">
      <c r="A3610" s="22" t="s">
        <v>1443</v>
      </c>
      <c r="B3610" s="20">
        <v>43592</v>
      </c>
      <c r="C3610" s="21">
        <v>182.00000301003499</v>
      </c>
      <c r="D3610" s="25" t="str">
        <f t="shared" si="112"/>
        <v>201919</v>
      </c>
      <c r="E3610" s="22" t="str">
        <f t="shared" ca="1" si="113"/>
        <v>201905</v>
      </c>
      <c r="F3610" s="22">
        <v>2019</v>
      </c>
    </row>
    <row r="3611" spans="1:6" ht="15.75">
      <c r="A3611" s="22" t="s">
        <v>1441</v>
      </c>
      <c r="B3611" s="26">
        <v>43592</v>
      </c>
      <c r="C3611" s="27">
        <v>24.83</v>
      </c>
      <c r="D3611" s="25" t="str">
        <f t="shared" si="112"/>
        <v>201919</v>
      </c>
      <c r="E3611" s="22" t="str">
        <f t="shared" ca="1" si="113"/>
        <v>201905</v>
      </c>
      <c r="F3611" s="22">
        <v>2019</v>
      </c>
    </row>
    <row r="3612" spans="1:6" ht="15.75">
      <c r="A3612" s="22" t="s">
        <v>1442</v>
      </c>
      <c r="B3612" s="23">
        <v>43593</v>
      </c>
      <c r="C3612" s="24">
        <v>51.82</v>
      </c>
      <c r="D3612" s="25" t="str">
        <f t="shared" si="112"/>
        <v>201919</v>
      </c>
      <c r="E3612" s="22" t="str">
        <f t="shared" ca="1" si="113"/>
        <v>201905</v>
      </c>
      <c r="F3612" s="22">
        <v>2019</v>
      </c>
    </row>
    <row r="3613" spans="1:6" ht="15.75">
      <c r="A3613" s="22" t="s">
        <v>1442</v>
      </c>
      <c r="B3613" s="23">
        <v>43593</v>
      </c>
      <c r="C3613" s="24">
        <v>0</v>
      </c>
      <c r="D3613" s="25" t="str">
        <f t="shared" si="112"/>
        <v>201919</v>
      </c>
      <c r="E3613" s="22" t="str">
        <f t="shared" ca="1" si="113"/>
        <v>201905</v>
      </c>
      <c r="F3613" s="22">
        <v>2019</v>
      </c>
    </row>
    <row r="3614" spans="1:6" ht="15.75">
      <c r="A3614" s="22" t="s">
        <v>1443</v>
      </c>
      <c r="B3614" s="20">
        <v>43593</v>
      </c>
      <c r="C3614" s="21">
        <v>184.94999504089401</v>
      </c>
      <c r="D3614" s="25" t="str">
        <f t="shared" si="112"/>
        <v>201919</v>
      </c>
      <c r="E3614" s="22" t="str">
        <f t="shared" ca="1" si="113"/>
        <v>201905</v>
      </c>
      <c r="F3614" s="22">
        <v>2019</v>
      </c>
    </row>
    <row r="3615" spans="1:6" ht="15.75">
      <c r="A3615" s="22" t="s">
        <v>1441</v>
      </c>
      <c r="B3615" s="26">
        <v>43593</v>
      </c>
      <c r="C3615" s="27">
        <v>6.7</v>
      </c>
      <c r="D3615" s="25" t="str">
        <f t="shared" si="112"/>
        <v>201919</v>
      </c>
      <c r="E3615" s="22" t="str">
        <f t="shared" ca="1" si="113"/>
        <v>201905</v>
      </c>
      <c r="F3615" s="22">
        <v>2019</v>
      </c>
    </row>
    <row r="3616" spans="1:6" ht="15.75">
      <c r="A3616" s="22" t="s">
        <v>1442</v>
      </c>
      <c r="B3616" s="23">
        <v>43594</v>
      </c>
      <c r="C3616" s="24">
        <v>31.22</v>
      </c>
      <c r="D3616" s="25" t="str">
        <f t="shared" si="112"/>
        <v>201919</v>
      </c>
      <c r="E3616" s="22" t="str">
        <f t="shared" ca="1" si="113"/>
        <v>201905</v>
      </c>
      <c r="F3616" s="22">
        <v>2019</v>
      </c>
    </row>
    <row r="3617" spans="1:6" ht="15.75">
      <c r="A3617" s="22" t="s">
        <v>1442</v>
      </c>
      <c r="B3617" s="23">
        <v>43594</v>
      </c>
      <c r="C3617" s="24">
        <v>0.39</v>
      </c>
      <c r="D3617" s="25" t="str">
        <f t="shared" si="112"/>
        <v>201919</v>
      </c>
      <c r="E3617" s="22" t="str">
        <f t="shared" ca="1" si="113"/>
        <v>201905</v>
      </c>
      <c r="F3617" s="22">
        <v>2019</v>
      </c>
    </row>
    <row r="3618" spans="1:6" ht="15.75">
      <c r="A3618" s="22" t="s">
        <v>1443</v>
      </c>
      <c r="B3618" s="20">
        <v>43594</v>
      </c>
      <c r="C3618" s="21">
        <v>159.94999748468399</v>
      </c>
      <c r="D3618" s="25" t="str">
        <f t="shared" si="112"/>
        <v>201919</v>
      </c>
      <c r="E3618" s="22" t="str">
        <f t="shared" ca="1" si="113"/>
        <v>201905</v>
      </c>
      <c r="F3618" s="22">
        <v>2019</v>
      </c>
    </row>
    <row r="3619" spans="1:6" ht="15.75">
      <c r="A3619" s="22" t="s">
        <v>1441</v>
      </c>
      <c r="B3619" s="26">
        <v>43594</v>
      </c>
      <c r="C3619" s="27">
        <v>0</v>
      </c>
      <c r="D3619" s="25" t="str">
        <f t="shared" si="112"/>
        <v>201919</v>
      </c>
      <c r="E3619" s="22" t="str">
        <f t="shared" ca="1" si="113"/>
        <v>201905</v>
      </c>
      <c r="F3619" s="22">
        <v>2019</v>
      </c>
    </row>
    <row r="3620" spans="1:6" ht="15.75">
      <c r="A3620" s="22" t="s">
        <v>1442</v>
      </c>
      <c r="B3620" s="23">
        <v>43595</v>
      </c>
      <c r="C3620" s="24">
        <v>29.34</v>
      </c>
      <c r="D3620" s="25" t="str">
        <f t="shared" si="112"/>
        <v>201919</v>
      </c>
      <c r="E3620" s="22" t="str">
        <f t="shared" ca="1" si="113"/>
        <v>201905</v>
      </c>
      <c r="F3620" s="22">
        <v>2019</v>
      </c>
    </row>
    <row r="3621" spans="1:6" ht="15.75">
      <c r="A3621" s="22" t="s">
        <v>1442</v>
      </c>
      <c r="B3621" s="23">
        <v>43595</v>
      </c>
      <c r="C3621" s="24">
        <v>0</v>
      </c>
      <c r="D3621" s="25" t="str">
        <f t="shared" si="112"/>
        <v>201919</v>
      </c>
      <c r="E3621" s="22" t="str">
        <f t="shared" ca="1" si="113"/>
        <v>201905</v>
      </c>
      <c r="F3621" s="22">
        <v>2019</v>
      </c>
    </row>
    <row r="3622" spans="1:6" ht="15.75">
      <c r="A3622" s="22" t="s">
        <v>1443</v>
      </c>
      <c r="B3622" s="20">
        <v>43595</v>
      </c>
      <c r="C3622" s="21">
        <v>120.14999842643699</v>
      </c>
      <c r="D3622" s="25" t="str">
        <f t="shared" si="112"/>
        <v>201919</v>
      </c>
      <c r="E3622" s="22" t="str">
        <f t="shared" ca="1" si="113"/>
        <v>201905</v>
      </c>
      <c r="F3622" s="22">
        <v>2019</v>
      </c>
    </row>
    <row r="3623" spans="1:6" ht="15.75">
      <c r="A3623" s="22" t="s">
        <v>1441</v>
      </c>
      <c r="B3623" s="26">
        <v>43595</v>
      </c>
      <c r="C3623" s="27">
        <v>0</v>
      </c>
      <c r="D3623" s="25" t="str">
        <f t="shared" si="112"/>
        <v>201919</v>
      </c>
      <c r="E3623" s="22" t="str">
        <f t="shared" ca="1" si="113"/>
        <v>201905</v>
      </c>
      <c r="F3623" s="22">
        <v>2019</v>
      </c>
    </row>
    <row r="3624" spans="1:6" ht="15.75">
      <c r="A3624" s="22" t="s">
        <v>1442</v>
      </c>
      <c r="B3624" s="23">
        <v>43596</v>
      </c>
      <c r="C3624" s="24">
        <v>19.190000000000001</v>
      </c>
      <c r="D3624" s="25" t="str">
        <f t="shared" si="112"/>
        <v>201919</v>
      </c>
      <c r="E3624" s="22" t="str">
        <f t="shared" ca="1" si="113"/>
        <v>201905</v>
      </c>
      <c r="F3624" s="22">
        <v>2019</v>
      </c>
    </row>
    <row r="3625" spans="1:6" ht="15.75">
      <c r="A3625" s="22" t="s">
        <v>1442</v>
      </c>
      <c r="B3625" s="23">
        <v>43596</v>
      </c>
      <c r="C3625" s="24">
        <v>0</v>
      </c>
      <c r="D3625" s="25" t="str">
        <f t="shared" si="112"/>
        <v>201919</v>
      </c>
      <c r="E3625" s="22" t="str">
        <f t="shared" ca="1" si="113"/>
        <v>201905</v>
      </c>
      <c r="F3625" s="22">
        <v>2019</v>
      </c>
    </row>
    <row r="3626" spans="1:6" ht="15.75">
      <c r="A3626" s="22" t="s">
        <v>1443</v>
      </c>
      <c r="B3626" s="20">
        <v>43596</v>
      </c>
      <c r="C3626" s="21">
        <v>89.649997740984006</v>
      </c>
      <c r="D3626" s="25" t="str">
        <f t="shared" si="112"/>
        <v>201919</v>
      </c>
      <c r="E3626" s="22" t="str">
        <f t="shared" ca="1" si="113"/>
        <v>201905</v>
      </c>
      <c r="F3626" s="22">
        <v>2019</v>
      </c>
    </row>
    <row r="3627" spans="1:6" ht="15.75">
      <c r="A3627" s="22" t="s">
        <v>1441</v>
      </c>
      <c r="B3627" s="26">
        <v>43596</v>
      </c>
      <c r="C3627" s="27">
        <v>0</v>
      </c>
      <c r="D3627" s="25" t="str">
        <f t="shared" si="112"/>
        <v>201919</v>
      </c>
      <c r="E3627" s="22" t="str">
        <f t="shared" ca="1" si="113"/>
        <v>201905</v>
      </c>
      <c r="F3627" s="22">
        <v>2019</v>
      </c>
    </row>
    <row r="3628" spans="1:6" ht="15.75">
      <c r="A3628" s="22" t="s">
        <v>1442</v>
      </c>
      <c r="B3628" s="23">
        <v>43597</v>
      </c>
      <c r="C3628" s="24">
        <v>13.12</v>
      </c>
      <c r="D3628" s="25" t="str">
        <f t="shared" si="112"/>
        <v>201919</v>
      </c>
      <c r="E3628" s="22" t="str">
        <f t="shared" ca="1" si="113"/>
        <v>201905</v>
      </c>
      <c r="F3628" s="22">
        <v>2019</v>
      </c>
    </row>
    <row r="3629" spans="1:6" ht="15.75">
      <c r="A3629" s="22" t="s">
        <v>1442</v>
      </c>
      <c r="B3629" s="23">
        <v>43597</v>
      </c>
      <c r="C3629" s="24">
        <v>0</v>
      </c>
      <c r="D3629" s="25" t="str">
        <f t="shared" si="112"/>
        <v>201919</v>
      </c>
      <c r="E3629" s="22" t="str">
        <f t="shared" ca="1" si="113"/>
        <v>201905</v>
      </c>
      <c r="F3629" s="22">
        <v>2019</v>
      </c>
    </row>
    <row r="3630" spans="1:6" ht="15.75">
      <c r="A3630" s="22" t="s">
        <v>1443</v>
      </c>
      <c r="B3630" s="20">
        <v>43597</v>
      </c>
      <c r="C3630" s="21">
        <v>110.599998682737</v>
      </c>
      <c r="D3630" s="25" t="str">
        <f t="shared" si="112"/>
        <v>201919</v>
      </c>
      <c r="E3630" s="22" t="str">
        <f t="shared" ca="1" si="113"/>
        <v>201905</v>
      </c>
      <c r="F3630" s="22">
        <v>2019</v>
      </c>
    </row>
    <row r="3631" spans="1:6" ht="15.75">
      <c r="A3631" s="22" t="s">
        <v>1441</v>
      </c>
      <c r="B3631" s="26">
        <v>43597</v>
      </c>
      <c r="C3631" s="27">
        <v>0</v>
      </c>
      <c r="D3631" s="25" t="str">
        <f t="shared" si="112"/>
        <v>201919</v>
      </c>
      <c r="E3631" s="22" t="str">
        <f t="shared" ca="1" si="113"/>
        <v>201905</v>
      </c>
      <c r="F3631" s="22">
        <v>2019</v>
      </c>
    </row>
    <row r="3632" spans="1:6" ht="15.75">
      <c r="A3632" s="22" t="s">
        <v>1442</v>
      </c>
      <c r="B3632" s="23">
        <v>43598</v>
      </c>
      <c r="C3632" s="24">
        <v>15.92</v>
      </c>
      <c r="D3632" s="25" t="str">
        <f t="shared" si="112"/>
        <v>201920</v>
      </c>
      <c r="E3632" s="22" t="str">
        <f t="shared" ca="1" si="113"/>
        <v>201905</v>
      </c>
      <c r="F3632" s="22">
        <v>2019</v>
      </c>
    </row>
    <row r="3633" spans="1:6" ht="15.75">
      <c r="A3633" s="22" t="s">
        <v>1442</v>
      </c>
      <c r="B3633" s="23">
        <v>43598</v>
      </c>
      <c r="C3633" s="24">
        <v>0.39</v>
      </c>
      <c r="D3633" s="25" t="str">
        <f t="shared" si="112"/>
        <v>201920</v>
      </c>
      <c r="E3633" s="22" t="str">
        <f t="shared" ca="1" si="113"/>
        <v>201905</v>
      </c>
      <c r="F3633" s="22">
        <v>2019</v>
      </c>
    </row>
    <row r="3634" spans="1:6" ht="15.75">
      <c r="A3634" s="22" t="s">
        <v>1443</v>
      </c>
      <c r="B3634" s="20">
        <v>43598</v>
      </c>
      <c r="C3634" s="21">
        <v>138.59999725222599</v>
      </c>
      <c r="D3634" s="25" t="str">
        <f t="shared" si="112"/>
        <v>201920</v>
      </c>
      <c r="E3634" s="22" t="str">
        <f t="shared" ca="1" si="113"/>
        <v>201905</v>
      </c>
      <c r="F3634" s="22">
        <v>2019</v>
      </c>
    </row>
    <row r="3635" spans="1:6" ht="15.75">
      <c r="A3635" s="22" t="s">
        <v>1441</v>
      </c>
      <c r="B3635" s="26">
        <v>43598</v>
      </c>
      <c r="C3635" s="27">
        <v>54.24</v>
      </c>
      <c r="D3635" s="25" t="str">
        <f t="shared" si="112"/>
        <v>201920</v>
      </c>
      <c r="E3635" s="22" t="str">
        <f t="shared" ca="1" si="113"/>
        <v>201905</v>
      </c>
      <c r="F3635" s="22">
        <v>2019</v>
      </c>
    </row>
    <row r="3636" spans="1:6" ht="15.75">
      <c r="A3636" s="22" t="s">
        <v>1442</v>
      </c>
      <c r="B3636" s="23">
        <v>43599</v>
      </c>
      <c r="C3636" s="24">
        <v>17.23</v>
      </c>
      <c r="D3636" s="25" t="str">
        <f t="shared" si="112"/>
        <v>201920</v>
      </c>
      <c r="E3636" s="22" t="str">
        <f t="shared" ca="1" si="113"/>
        <v>201905</v>
      </c>
      <c r="F3636" s="22">
        <v>2019</v>
      </c>
    </row>
    <row r="3637" spans="1:6" ht="15.75">
      <c r="A3637" s="22" t="s">
        <v>1442</v>
      </c>
      <c r="B3637" s="23">
        <v>43599</v>
      </c>
      <c r="C3637" s="24">
        <v>0</v>
      </c>
      <c r="D3637" s="25" t="str">
        <f t="shared" si="112"/>
        <v>201920</v>
      </c>
      <c r="E3637" s="22" t="str">
        <f t="shared" ca="1" si="113"/>
        <v>201905</v>
      </c>
      <c r="F3637" s="22">
        <v>2019</v>
      </c>
    </row>
    <row r="3638" spans="1:6" ht="15.75">
      <c r="A3638" s="22" t="s">
        <v>1443</v>
      </c>
      <c r="B3638" s="20">
        <v>43599</v>
      </c>
      <c r="C3638" s="21">
        <v>152.949998348951</v>
      </c>
      <c r="D3638" s="25" t="str">
        <f t="shared" si="112"/>
        <v>201920</v>
      </c>
      <c r="E3638" s="22" t="str">
        <f t="shared" ca="1" si="113"/>
        <v>201905</v>
      </c>
      <c r="F3638" s="22">
        <v>2019</v>
      </c>
    </row>
    <row r="3639" spans="1:6" ht="15.75">
      <c r="A3639" s="22" t="s">
        <v>1441</v>
      </c>
      <c r="B3639" s="26">
        <v>43599</v>
      </c>
      <c r="C3639" s="27">
        <v>41.31</v>
      </c>
      <c r="D3639" s="25" t="str">
        <f t="shared" si="112"/>
        <v>201920</v>
      </c>
      <c r="E3639" s="22" t="str">
        <f t="shared" ca="1" si="113"/>
        <v>201905</v>
      </c>
      <c r="F3639" s="22">
        <v>2019</v>
      </c>
    </row>
    <row r="3640" spans="1:6" ht="15.75">
      <c r="A3640" s="22" t="s">
        <v>1442</v>
      </c>
      <c r="B3640" s="23">
        <v>43600</v>
      </c>
      <c r="C3640" s="24">
        <v>8.8000000000000007</v>
      </c>
      <c r="D3640" s="25" t="str">
        <f t="shared" si="112"/>
        <v>201920</v>
      </c>
      <c r="E3640" s="22" t="str">
        <f t="shared" ca="1" si="113"/>
        <v>201905</v>
      </c>
      <c r="F3640" s="22">
        <v>2019</v>
      </c>
    </row>
    <row r="3641" spans="1:6" ht="15.75">
      <c r="A3641" s="22" t="s">
        <v>1442</v>
      </c>
      <c r="B3641" s="23">
        <v>43600</v>
      </c>
      <c r="C3641" s="24">
        <v>0</v>
      </c>
      <c r="D3641" s="25" t="str">
        <f t="shared" si="112"/>
        <v>201920</v>
      </c>
      <c r="E3641" s="22" t="str">
        <f t="shared" ca="1" si="113"/>
        <v>201905</v>
      </c>
      <c r="F3641" s="22">
        <v>2019</v>
      </c>
    </row>
    <row r="3642" spans="1:6" ht="15.75">
      <c r="A3642" s="22" t="s">
        <v>1443</v>
      </c>
      <c r="B3642" s="20">
        <v>43600</v>
      </c>
      <c r="C3642" s="21">
        <v>142.100000649691</v>
      </c>
      <c r="D3642" s="25" t="str">
        <f t="shared" si="112"/>
        <v>201920</v>
      </c>
      <c r="E3642" s="22" t="str">
        <f t="shared" ca="1" si="113"/>
        <v>201905</v>
      </c>
      <c r="F3642" s="22">
        <v>2019</v>
      </c>
    </row>
    <row r="3643" spans="1:6" ht="15.75">
      <c r="A3643" s="22" t="s">
        <v>1441</v>
      </c>
      <c r="B3643" s="26">
        <v>43600</v>
      </c>
      <c r="C3643" s="27">
        <v>39.94</v>
      </c>
      <c r="D3643" s="25" t="str">
        <f t="shared" si="112"/>
        <v>201920</v>
      </c>
      <c r="E3643" s="22" t="str">
        <f t="shared" ca="1" si="113"/>
        <v>201905</v>
      </c>
      <c r="F3643" s="22">
        <v>2019</v>
      </c>
    </row>
    <row r="3644" spans="1:6" ht="15.75">
      <c r="A3644" s="22" t="s">
        <v>1442</v>
      </c>
      <c r="B3644" s="23">
        <v>43601</v>
      </c>
      <c r="C3644" s="24">
        <v>13.51</v>
      </c>
      <c r="D3644" s="25" t="str">
        <f t="shared" si="112"/>
        <v>201920</v>
      </c>
      <c r="E3644" s="22" t="str">
        <f t="shared" ca="1" si="113"/>
        <v>201905</v>
      </c>
      <c r="F3644" s="22">
        <v>2019</v>
      </c>
    </row>
    <row r="3645" spans="1:6" ht="15.75">
      <c r="A3645" s="22" t="s">
        <v>1442</v>
      </c>
      <c r="B3645" s="23">
        <v>43601</v>
      </c>
      <c r="C3645" s="24">
        <v>0</v>
      </c>
      <c r="D3645" s="25" t="str">
        <f t="shared" si="112"/>
        <v>201920</v>
      </c>
      <c r="E3645" s="22" t="str">
        <f t="shared" ca="1" si="113"/>
        <v>201905</v>
      </c>
      <c r="F3645" s="22">
        <v>2019</v>
      </c>
    </row>
    <row r="3646" spans="1:6" ht="15.75">
      <c r="A3646" s="22" t="s">
        <v>1443</v>
      </c>
      <c r="B3646" s="20">
        <v>43601</v>
      </c>
      <c r="C3646" s="21">
        <v>41.6499997675419</v>
      </c>
      <c r="D3646" s="25" t="str">
        <f t="shared" si="112"/>
        <v>201920</v>
      </c>
      <c r="E3646" s="22" t="str">
        <f t="shared" ca="1" si="113"/>
        <v>201905</v>
      </c>
      <c r="F3646" s="22">
        <v>2019</v>
      </c>
    </row>
    <row r="3647" spans="1:6" ht="15.75">
      <c r="A3647" s="22" t="s">
        <v>1441</v>
      </c>
      <c r="B3647" s="26">
        <v>43601</v>
      </c>
      <c r="C3647" s="27">
        <v>40.01</v>
      </c>
      <c r="D3647" s="25" t="str">
        <f t="shared" si="112"/>
        <v>201920</v>
      </c>
      <c r="E3647" s="22" t="str">
        <f t="shared" ca="1" si="113"/>
        <v>201905</v>
      </c>
      <c r="F3647" s="22">
        <v>2019</v>
      </c>
    </row>
    <row r="3648" spans="1:6" ht="15.75">
      <c r="A3648" s="22" t="s">
        <v>1442</v>
      </c>
      <c r="B3648" s="23">
        <v>43602</v>
      </c>
      <c r="C3648" s="24">
        <v>11.59</v>
      </c>
      <c r="D3648" s="25" t="str">
        <f t="shared" si="112"/>
        <v>201920</v>
      </c>
      <c r="E3648" s="22" t="str">
        <f t="shared" ca="1" si="113"/>
        <v>201905</v>
      </c>
      <c r="F3648" s="22">
        <v>2019</v>
      </c>
    </row>
    <row r="3649" spans="1:6" ht="15.75">
      <c r="A3649" s="22" t="s">
        <v>1442</v>
      </c>
      <c r="B3649" s="23">
        <v>43602</v>
      </c>
      <c r="C3649" s="24">
        <v>0</v>
      </c>
      <c r="D3649" s="25" t="str">
        <f t="shared" si="112"/>
        <v>201920</v>
      </c>
      <c r="E3649" s="22" t="str">
        <f t="shared" ca="1" si="113"/>
        <v>201905</v>
      </c>
      <c r="F3649" s="22">
        <v>2019</v>
      </c>
    </row>
    <row r="3650" spans="1:6" ht="15.75">
      <c r="A3650" s="22" t="s">
        <v>1443</v>
      </c>
      <c r="B3650" s="20">
        <v>43602</v>
      </c>
      <c r="C3650" s="21">
        <v>0</v>
      </c>
      <c r="D3650" s="25" t="str">
        <f t="shared" si="112"/>
        <v>201920</v>
      </c>
      <c r="E3650" s="22" t="str">
        <f t="shared" ca="1" si="113"/>
        <v>201905</v>
      </c>
      <c r="F3650" s="22">
        <v>2019</v>
      </c>
    </row>
    <row r="3651" spans="1:6" ht="15.75">
      <c r="A3651" s="22" t="s">
        <v>1441</v>
      </c>
      <c r="B3651" s="26">
        <v>43602</v>
      </c>
      <c r="C3651" s="27">
        <v>38.64</v>
      </c>
      <c r="D3651" s="25" t="str">
        <f t="shared" ref="D3651:D3714" si="114">CONCATENATE(YEAR(B3651-WEEKDAY(B3651,3)+3),TEXT(WEEKNUM(B3651,21),"00"))</f>
        <v>201920</v>
      </c>
      <c r="E3651" s="22" t="str">
        <f t="shared" ref="E3651:E3714" ca="1" si="115">IF(
  AND(
    YEAR(B3651)=YEAR(TODAY())-1,
    MONTH(B3651)=MONTH(TODAY()),
    DAY(B3651)&gt;DAY($H$2)
  ),
  0,
  CONCATENATE(YEAR(B3651),TEXT(MONTH(B3651),"00"))
)</f>
        <v>201905</v>
      </c>
      <c r="F3651" s="22">
        <v>2019</v>
      </c>
    </row>
    <row r="3652" spans="1:6" ht="15.75">
      <c r="A3652" s="22" t="s">
        <v>1442</v>
      </c>
      <c r="B3652" s="23">
        <v>43603</v>
      </c>
      <c r="C3652" s="24">
        <v>7.68</v>
      </c>
      <c r="D3652" s="25" t="str">
        <f t="shared" si="114"/>
        <v>201920</v>
      </c>
      <c r="E3652" s="22" t="str">
        <f t="shared" ca="1" si="115"/>
        <v>201905</v>
      </c>
      <c r="F3652" s="22">
        <v>2019</v>
      </c>
    </row>
    <row r="3653" spans="1:6" ht="15.75">
      <c r="A3653" s="22" t="s">
        <v>1442</v>
      </c>
      <c r="B3653" s="23">
        <v>43603</v>
      </c>
      <c r="C3653" s="24">
        <v>0</v>
      </c>
      <c r="D3653" s="25" t="str">
        <f t="shared" si="114"/>
        <v>201920</v>
      </c>
      <c r="E3653" s="22" t="str">
        <f t="shared" ca="1" si="115"/>
        <v>201905</v>
      </c>
      <c r="F3653" s="22">
        <v>2019</v>
      </c>
    </row>
    <row r="3654" spans="1:6" ht="15.75">
      <c r="A3654" s="22" t="s">
        <v>1443</v>
      </c>
      <c r="B3654" s="20">
        <v>43603</v>
      </c>
      <c r="C3654" s="21">
        <v>0.34999999403953602</v>
      </c>
      <c r="D3654" s="25" t="str">
        <f t="shared" si="114"/>
        <v>201920</v>
      </c>
      <c r="E3654" s="22" t="str">
        <f t="shared" ca="1" si="115"/>
        <v>201905</v>
      </c>
      <c r="F3654" s="22">
        <v>2019</v>
      </c>
    </row>
    <row r="3655" spans="1:6" ht="15.75">
      <c r="A3655" s="22" t="s">
        <v>1441</v>
      </c>
      <c r="B3655" s="26">
        <v>43603</v>
      </c>
      <c r="C3655" s="27">
        <v>37.82</v>
      </c>
      <c r="D3655" s="25" t="str">
        <f t="shared" si="114"/>
        <v>201920</v>
      </c>
      <c r="E3655" s="22" t="str">
        <f t="shared" ca="1" si="115"/>
        <v>201905</v>
      </c>
      <c r="F3655" s="22">
        <v>2019</v>
      </c>
    </row>
    <row r="3656" spans="1:6" ht="15.75">
      <c r="A3656" s="22" t="s">
        <v>1442</v>
      </c>
      <c r="B3656" s="23">
        <v>43604</v>
      </c>
      <c r="C3656" s="24">
        <v>9.9600000000000009</v>
      </c>
      <c r="D3656" s="25" t="str">
        <f t="shared" si="114"/>
        <v>201920</v>
      </c>
      <c r="E3656" s="22" t="str">
        <f t="shared" ca="1" si="115"/>
        <v>201905</v>
      </c>
      <c r="F3656" s="22">
        <v>2019</v>
      </c>
    </row>
    <row r="3657" spans="1:6" ht="15.75">
      <c r="A3657" s="22" t="s">
        <v>1442</v>
      </c>
      <c r="B3657" s="23">
        <v>43604</v>
      </c>
      <c r="C3657" s="24">
        <v>0</v>
      </c>
      <c r="D3657" s="25" t="str">
        <f t="shared" si="114"/>
        <v>201920</v>
      </c>
      <c r="E3657" s="22" t="str">
        <f t="shared" ca="1" si="115"/>
        <v>201905</v>
      </c>
      <c r="F3657" s="22">
        <v>2019</v>
      </c>
    </row>
    <row r="3658" spans="1:6" ht="15.75">
      <c r="A3658" s="22" t="s">
        <v>1443</v>
      </c>
      <c r="B3658" s="20">
        <v>43604</v>
      </c>
      <c r="C3658" s="21">
        <v>0.34999999403953602</v>
      </c>
      <c r="D3658" s="25" t="str">
        <f t="shared" si="114"/>
        <v>201920</v>
      </c>
      <c r="E3658" s="22" t="str">
        <f t="shared" ca="1" si="115"/>
        <v>201905</v>
      </c>
      <c r="F3658" s="22">
        <v>2019</v>
      </c>
    </row>
    <row r="3659" spans="1:6" ht="15.75">
      <c r="A3659" s="22" t="s">
        <v>1441</v>
      </c>
      <c r="B3659" s="26">
        <v>43604</v>
      </c>
      <c r="C3659" s="27">
        <v>39.770000000000003</v>
      </c>
      <c r="D3659" s="25" t="str">
        <f t="shared" si="114"/>
        <v>201920</v>
      </c>
      <c r="E3659" s="22" t="str">
        <f t="shared" ca="1" si="115"/>
        <v>201905</v>
      </c>
      <c r="F3659" s="22">
        <v>2019</v>
      </c>
    </row>
    <row r="3660" spans="1:6" ht="15.75">
      <c r="A3660" s="22" t="s">
        <v>1442</v>
      </c>
      <c r="B3660" s="23">
        <v>43605</v>
      </c>
      <c r="C3660" s="24">
        <v>14.72</v>
      </c>
      <c r="D3660" s="25" t="str">
        <f t="shared" si="114"/>
        <v>201921</v>
      </c>
      <c r="E3660" s="22" t="str">
        <f t="shared" ca="1" si="115"/>
        <v>201905</v>
      </c>
      <c r="F3660" s="22">
        <v>2019</v>
      </c>
    </row>
    <row r="3661" spans="1:6" ht="15.75">
      <c r="A3661" s="22" t="s">
        <v>1442</v>
      </c>
      <c r="B3661" s="23">
        <v>43605</v>
      </c>
      <c r="C3661" s="24">
        <v>0</v>
      </c>
      <c r="D3661" s="25" t="str">
        <f t="shared" si="114"/>
        <v>201921</v>
      </c>
      <c r="E3661" s="22" t="str">
        <f t="shared" ca="1" si="115"/>
        <v>201905</v>
      </c>
      <c r="F3661" s="22">
        <v>2019</v>
      </c>
    </row>
    <row r="3662" spans="1:6" ht="15.75">
      <c r="A3662" s="22" t="s">
        <v>1443</v>
      </c>
      <c r="B3662" s="20">
        <v>43605</v>
      </c>
      <c r="C3662" s="21">
        <v>0</v>
      </c>
      <c r="D3662" s="25" t="str">
        <f t="shared" si="114"/>
        <v>201921</v>
      </c>
      <c r="E3662" s="22" t="str">
        <f t="shared" ca="1" si="115"/>
        <v>201905</v>
      </c>
      <c r="F3662" s="22">
        <v>2019</v>
      </c>
    </row>
    <row r="3663" spans="1:6" ht="15.75">
      <c r="A3663" s="22" t="s">
        <v>1441</v>
      </c>
      <c r="B3663" s="26">
        <v>43605</v>
      </c>
      <c r="C3663" s="27">
        <v>40.299999999999997</v>
      </c>
      <c r="D3663" s="25" t="str">
        <f t="shared" si="114"/>
        <v>201921</v>
      </c>
      <c r="E3663" s="22" t="str">
        <f t="shared" ca="1" si="115"/>
        <v>201905</v>
      </c>
      <c r="F3663" s="22">
        <v>2019</v>
      </c>
    </row>
    <row r="3664" spans="1:6" ht="15.75">
      <c r="A3664" s="22" t="s">
        <v>1442</v>
      </c>
      <c r="B3664" s="23">
        <v>43606</v>
      </c>
      <c r="C3664" s="24">
        <v>8.84</v>
      </c>
      <c r="D3664" s="25" t="str">
        <f t="shared" si="114"/>
        <v>201921</v>
      </c>
      <c r="E3664" s="22" t="str">
        <f t="shared" ca="1" si="115"/>
        <v>201905</v>
      </c>
      <c r="F3664" s="22">
        <v>2019</v>
      </c>
    </row>
    <row r="3665" spans="1:6" ht="15.75">
      <c r="A3665" s="22" t="s">
        <v>1442</v>
      </c>
      <c r="B3665" s="23">
        <v>43606</v>
      </c>
      <c r="C3665" s="24">
        <v>0</v>
      </c>
      <c r="D3665" s="25" t="str">
        <f t="shared" si="114"/>
        <v>201921</v>
      </c>
      <c r="E3665" s="22" t="str">
        <f t="shared" ca="1" si="115"/>
        <v>201905</v>
      </c>
      <c r="F3665" s="22">
        <v>2019</v>
      </c>
    </row>
    <row r="3666" spans="1:6" ht="15.75">
      <c r="A3666" s="22" t="s">
        <v>1443</v>
      </c>
      <c r="B3666" s="20">
        <v>43606</v>
      </c>
      <c r="C3666" s="21">
        <v>76.999999582767501</v>
      </c>
      <c r="D3666" s="25" t="str">
        <f t="shared" si="114"/>
        <v>201921</v>
      </c>
      <c r="E3666" s="22" t="str">
        <f t="shared" ca="1" si="115"/>
        <v>201905</v>
      </c>
      <c r="F3666" s="22">
        <v>2019</v>
      </c>
    </row>
    <row r="3667" spans="1:6" ht="15.75">
      <c r="A3667" s="22" t="s">
        <v>1441</v>
      </c>
      <c r="B3667" s="26">
        <v>43606</v>
      </c>
      <c r="C3667" s="27">
        <v>40.6</v>
      </c>
      <c r="D3667" s="25" t="str">
        <f t="shared" si="114"/>
        <v>201921</v>
      </c>
      <c r="E3667" s="22" t="str">
        <f t="shared" ca="1" si="115"/>
        <v>201905</v>
      </c>
      <c r="F3667" s="22">
        <v>2019</v>
      </c>
    </row>
    <row r="3668" spans="1:6" ht="15.75">
      <c r="A3668" s="22" t="s">
        <v>1442</v>
      </c>
      <c r="B3668" s="23">
        <v>43607</v>
      </c>
      <c r="C3668" s="24">
        <v>6.24</v>
      </c>
      <c r="D3668" s="25" t="str">
        <f t="shared" si="114"/>
        <v>201921</v>
      </c>
      <c r="E3668" s="22" t="str">
        <f t="shared" ca="1" si="115"/>
        <v>201905</v>
      </c>
      <c r="F3668" s="22">
        <v>2019</v>
      </c>
    </row>
    <row r="3669" spans="1:6" ht="15.75">
      <c r="A3669" s="22" t="s">
        <v>1442</v>
      </c>
      <c r="B3669" s="23">
        <v>43607</v>
      </c>
      <c r="C3669" s="24">
        <v>0</v>
      </c>
      <c r="D3669" s="25" t="str">
        <f t="shared" si="114"/>
        <v>201921</v>
      </c>
      <c r="E3669" s="22" t="str">
        <f t="shared" ca="1" si="115"/>
        <v>201905</v>
      </c>
      <c r="F3669" s="22">
        <v>2019</v>
      </c>
    </row>
    <row r="3670" spans="1:6" ht="15.75">
      <c r="A3670" s="22" t="s">
        <v>1443</v>
      </c>
      <c r="B3670" s="20">
        <v>43607</v>
      </c>
      <c r="C3670" s="21">
        <v>115.849997282028</v>
      </c>
      <c r="D3670" s="25" t="str">
        <f t="shared" si="114"/>
        <v>201921</v>
      </c>
      <c r="E3670" s="22" t="str">
        <f t="shared" ca="1" si="115"/>
        <v>201905</v>
      </c>
      <c r="F3670" s="22">
        <v>2019</v>
      </c>
    </row>
    <row r="3671" spans="1:6" ht="15.75">
      <c r="A3671" s="22" t="s">
        <v>1441</v>
      </c>
      <c r="B3671" s="26">
        <v>43607</v>
      </c>
      <c r="C3671" s="27">
        <v>49.4</v>
      </c>
      <c r="D3671" s="25" t="str">
        <f t="shared" si="114"/>
        <v>201921</v>
      </c>
      <c r="E3671" s="22" t="str">
        <f t="shared" ca="1" si="115"/>
        <v>201905</v>
      </c>
      <c r="F3671" s="22">
        <v>2019</v>
      </c>
    </row>
    <row r="3672" spans="1:6" ht="15.75">
      <c r="A3672" s="22" t="s">
        <v>1442</v>
      </c>
      <c r="B3672" s="23">
        <v>43608</v>
      </c>
      <c r="C3672" s="24">
        <v>9.73</v>
      </c>
      <c r="D3672" s="25" t="str">
        <f t="shared" si="114"/>
        <v>201921</v>
      </c>
      <c r="E3672" s="22" t="str">
        <f t="shared" ca="1" si="115"/>
        <v>201905</v>
      </c>
      <c r="F3672" s="22">
        <v>2019</v>
      </c>
    </row>
    <row r="3673" spans="1:6" ht="15.75">
      <c r="A3673" s="22" t="s">
        <v>1442</v>
      </c>
      <c r="B3673" s="23">
        <v>43608</v>
      </c>
      <c r="C3673" s="24">
        <v>0</v>
      </c>
      <c r="D3673" s="25" t="str">
        <f t="shared" si="114"/>
        <v>201921</v>
      </c>
      <c r="E3673" s="22" t="str">
        <f t="shared" ca="1" si="115"/>
        <v>201905</v>
      </c>
      <c r="F3673" s="22">
        <v>2019</v>
      </c>
    </row>
    <row r="3674" spans="1:6" ht="15.75">
      <c r="A3674" s="22" t="s">
        <v>1443</v>
      </c>
      <c r="B3674" s="20">
        <v>43608</v>
      </c>
      <c r="C3674" s="21">
        <v>124.249996989965</v>
      </c>
      <c r="D3674" s="25" t="str">
        <f t="shared" si="114"/>
        <v>201921</v>
      </c>
      <c r="E3674" s="22" t="str">
        <f t="shared" ca="1" si="115"/>
        <v>201905</v>
      </c>
      <c r="F3674" s="22">
        <v>2019</v>
      </c>
    </row>
    <row r="3675" spans="1:6" ht="15.75">
      <c r="A3675" s="22" t="s">
        <v>1441</v>
      </c>
      <c r="B3675" s="26">
        <v>43608</v>
      </c>
      <c r="C3675" s="27">
        <v>59.59</v>
      </c>
      <c r="D3675" s="25" t="str">
        <f t="shared" si="114"/>
        <v>201921</v>
      </c>
      <c r="E3675" s="22" t="str">
        <f t="shared" ca="1" si="115"/>
        <v>201905</v>
      </c>
      <c r="F3675" s="22">
        <v>2019</v>
      </c>
    </row>
    <row r="3676" spans="1:6" ht="15.75">
      <c r="A3676" s="22" t="s">
        <v>1442</v>
      </c>
      <c r="B3676" s="23">
        <v>43609</v>
      </c>
      <c r="C3676" s="24">
        <v>3.46</v>
      </c>
      <c r="D3676" s="25" t="str">
        <f t="shared" si="114"/>
        <v>201921</v>
      </c>
      <c r="E3676" s="22" t="str">
        <f t="shared" ca="1" si="115"/>
        <v>201905</v>
      </c>
      <c r="F3676" s="22">
        <v>2019</v>
      </c>
    </row>
    <row r="3677" spans="1:6" ht="15.75">
      <c r="A3677" s="22" t="s">
        <v>1442</v>
      </c>
      <c r="B3677" s="23">
        <v>43609</v>
      </c>
      <c r="C3677" s="24">
        <v>0</v>
      </c>
      <c r="D3677" s="25" t="str">
        <f t="shared" si="114"/>
        <v>201921</v>
      </c>
      <c r="E3677" s="22" t="str">
        <f t="shared" ca="1" si="115"/>
        <v>201905</v>
      </c>
      <c r="F3677" s="22">
        <v>2019</v>
      </c>
    </row>
    <row r="3678" spans="1:6" ht="15.75">
      <c r="A3678" s="22" t="s">
        <v>1443</v>
      </c>
      <c r="B3678" s="20">
        <v>43609</v>
      </c>
      <c r="C3678" s="21">
        <v>131.349998772144</v>
      </c>
      <c r="D3678" s="25" t="str">
        <f t="shared" si="114"/>
        <v>201921</v>
      </c>
      <c r="E3678" s="22" t="str">
        <f t="shared" ca="1" si="115"/>
        <v>201905</v>
      </c>
      <c r="F3678" s="22">
        <v>2019</v>
      </c>
    </row>
    <row r="3679" spans="1:6" ht="15.75">
      <c r="A3679" s="22" t="s">
        <v>1441</v>
      </c>
      <c r="B3679" s="26">
        <v>43609</v>
      </c>
      <c r="C3679" s="27">
        <v>59.27</v>
      </c>
      <c r="D3679" s="25" t="str">
        <f t="shared" si="114"/>
        <v>201921</v>
      </c>
      <c r="E3679" s="22" t="str">
        <f t="shared" ca="1" si="115"/>
        <v>201905</v>
      </c>
      <c r="F3679" s="22">
        <v>2019</v>
      </c>
    </row>
    <row r="3680" spans="1:6" ht="15.75">
      <c r="A3680" s="22" t="s">
        <v>1442</v>
      </c>
      <c r="B3680" s="23">
        <v>43610</v>
      </c>
      <c r="C3680" s="24">
        <v>8.57</v>
      </c>
      <c r="D3680" s="25" t="str">
        <f t="shared" si="114"/>
        <v>201921</v>
      </c>
      <c r="E3680" s="22" t="str">
        <f t="shared" ca="1" si="115"/>
        <v>201905</v>
      </c>
      <c r="F3680" s="22">
        <v>2019</v>
      </c>
    </row>
    <row r="3681" spans="1:6" ht="15.75">
      <c r="A3681" s="22" t="s">
        <v>1442</v>
      </c>
      <c r="B3681" s="23">
        <v>43610</v>
      </c>
      <c r="C3681" s="24">
        <v>0</v>
      </c>
      <c r="D3681" s="25" t="str">
        <f t="shared" si="114"/>
        <v>201921</v>
      </c>
      <c r="E3681" s="22" t="str">
        <f t="shared" ca="1" si="115"/>
        <v>201905</v>
      </c>
      <c r="F3681" s="22">
        <v>2019</v>
      </c>
    </row>
    <row r="3682" spans="1:6" ht="15.75">
      <c r="A3682" s="22" t="s">
        <v>1443</v>
      </c>
      <c r="B3682" s="20">
        <v>43610</v>
      </c>
      <c r="C3682" s="21">
        <v>101.149997472763</v>
      </c>
      <c r="D3682" s="25" t="str">
        <f t="shared" si="114"/>
        <v>201921</v>
      </c>
      <c r="E3682" s="22" t="str">
        <f t="shared" ca="1" si="115"/>
        <v>201905</v>
      </c>
      <c r="F3682" s="22">
        <v>2019</v>
      </c>
    </row>
    <row r="3683" spans="1:6" ht="15.75">
      <c r="A3683" s="22" t="s">
        <v>1441</v>
      </c>
      <c r="B3683" s="26">
        <v>43610</v>
      </c>
      <c r="C3683" s="27">
        <v>58.92</v>
      </c>
      <c r="D3683" s="25" t="str">
        <f t="shared" si="114"/>
        <v>201921</v>
      </c>
      <c r="E3683" s="22" t="str">
        <f t="shared" ca="1" si="115"/>
        <v>201905</v>
      </c>
      <c r="F3683" s="22">
        <v>2019</v>
      </c>
    </row>
    <row r="3684" spans="1:6" ht="15.75">
      <c r="A3684" s="22" t="s">
        <v>1442</v>
      </c>
      <c r="B3684" s="23">
        <v>43611</v>
      </c>
      <c r="C3684" s="24">
        <v>10.65</v>
      </c>
      <c r="D3684" s="25" t="str">
        <f t="shared" si="114"/>
        <v>201921</v>
      </c>
      <c r="E3684" s="22" t="str">
        <f t="shared" ca="1" si="115"/>
        <v>201905</v>
      </c>
      <c r="F3684" s="22">
        <v>2019</v>
      </c>
    </row>
    <row r="3685" spans="1:6" ht="15.75">
      <c r="A3685" s="22" t="s">
        <v>1442</v>
      </c>
      <c r="B3685" s="23">
        <v>43611</v>
      </c>
      <c r="C3685" s="24">
        <v>0</v>
      </c>
      <c r="D3685" s="25" t="str">
        <f t="shared" si="114"/>
        <v>201921</v>
      </c>
      <c r="E3685" s="22" t="str">
        <f t="shared" ca="1" si="115"/>
        <v>201905</v>
      </c>
      <c r="F3685" s="22">
        <v>2019</v>
      </c>
    </row>
    <row r="3686" spans="1:6" ht="15.75">
      <c r="A3686" s="22" t="s">
        <v>1443</v>
      </c>
      <c r="B3686" s="20">
        <v>43611</v>
      </c>
      <c r="C3686" s="21">
        <v>149.09999942779501</v>
      </c>
      <c r="D3686" s="25" t="str">
        <f t="shared" si="114"/>
        <v>201921</v>
      </c>
      <c r="E3686" s="22" t="str">
        <f t="shared" ca="1" si="115"/>
        <v>201905</v>
      </c>
      <c r="F3686" s="22">
        <v>2019</v>
      </c>
    </row>
    <row r="3687" spans="1:6" ht="15.75">
      <c r="A3687" s="22" t="s">
        <v>1441</v>
      </c>
      <c r="B3687" s="26">
        <v>43611</v>
      </c>
      <c r="C3687" s="27">
        <v>60.54</v>
      </c>
      <c r="D3687" s="25" t="str">
        <f t="shared" si="114"/>
        <v>201921</v>
      </c>
      <c r="E3687" s="22" t="str">
        <f t="shared" ca="1" si="115"/>
        <v>201905</v>
      </c>
      <c r="F3687" s="22">
        <v>2019</v>
      </c>
    </row>
    <row r="3688" spans="1:6" ht="15.75">
      <c r="A3688" s="22" t="s">
        <v>1442</v>
      </c>
      <c r="B3688" s="23">
        <v>43612</v>
      </c>
      <c r="C3688" s="24">
        <v>12.47</v>
      </c>
      <c r="D3688" s="25" t="str">
        <f t="shared" si="114"/>
        <v>201922</v>
      </c>
      <c r="E3688" s="22" t="str">
        <f t="shared" ca="1" si="115"/>
        <v>201905</v>
      </c>
      <c r="F3688" s="22">
        <v>2019</v>
      </c>
    </row>
    <row r="3689" spans="1:6" ht="15.75">
      <c r="A3689" s="22" t="s">
        <v>1442</v>
      </c>
      <c r="B3689" s="23">
        <v>43612</v>
      </c>
      <c r="C3689" s="24">
        <v>0</v>
      </c>
      <c r="D3689" s="25" t="str">
        <f t="shared" si="114"/>
        <v>201922</v>
      </c>
      <c r="E3689" s="22" t="str">
        <f t="shared" ca="1" si="115"/>
        <v>201905</v>
      </c>
      <c r="F3689" s="22">
        <v>2019</v>
      </c>
    </row>
    <row r="3690" spans="1:6" ht="15.75">
      <c r="A3690" s="22" t="s">
        <v>1443</v>
      </c>
      <c r="B3690" s="20">
        <v>43612</v>
      </c>
      <c r="C3690" s="21">
        <v>220.849993795156</v>
      </c>
      <c r="D3690" s="25" t="str">
        <f t="shared" si="114"/>
        <v>201922</v>
      </c>
      <c r="E3690" s="22" t="str">
        <f t="shared" ca="1" si="115"/>
        <v>201905</v>
      </c>
      <c r="F3690" s="22">
        <v>2019</v>
      </c>
    </row>
    <row r="3691" spans="1:6" ht="15.75">
      <c r="A3691" s="22" t="s">
        <v>1441</v>
      </c>
      <c r="B3691" s="26">
        <v>43612</v>
      </c>
      <c r="C3691" s="27">
        <v>59.86</v>
      </c>
      <c r="D3691" s="25" t="str">
        <f t="shared" si="114"/>
        <v>201922</v>
      </c>
      <c r="E3691" s="22" t="str">
        <f t="shared" ca="1" si="115"/>
        <v>201905</v>
      </c>
      <c r="F3691" s="22">
        <v>2019</v>
      </c>
    </row>
    <row r="3692" spans="1:6" ht="15.75">
      <c r="A3692" s="22" t="s">
        <v>1442</v>
      </c>
      <c r="B3692" s="23">
        <v>43613</v>
      </c>
      <c r="C3692" s="24">
        <v>17.829999999999998</v>
      </c>
      <c r="D3692" s="25" t="str">
        <f t="shared" si="114"/>
        <v>201922</v>
      </c>
      <c r="E3692" s="22" t="str">
        <f t="shared" ca="1" si="115"/>
        <v>201905</v>
      </c>
      <c r="F3692" s="22">
        <v>2019</v>
      </c>
    </row>
    <row r="3693" spans="1:6" ht="15.75">
      <c r="A3693" s="22" t="s">
        <v>1442</v>
      </c>
      <c r="B3693" s="23">
        <v>43613</v>
      </c>
      <c r="C3693" s="24">
        <v>0</v>
      </c>
      <c r="D3693" s="25" t="str">
        <f t="shared" si="114"/>
        <v>201922</v>
      </c>
      <c r="E3693" s="22" t="str">
        <f t="shared" ca="1" si="115"/>
        <v>201905</v>
      </c>
      <c r="F3693" s="22">
        <v>2019</v>
      </c>
    </row>
    <row r="3694" spans="1:6" ht="15.75">
      <c r="A3694" s="22" t="s">
        <v>1443</v>
      </c>
      <c r="B3694" s="20">
        <v>43613</v>
      </c>
      <c r="C3694" s="21">
        <v>185.49999541044201</v>
      </c>
      <c r="D3694" s="25" t="str">
        <f t="shared" si="114"/>
        <v>201922</v>
      </c>
      <c r="E3694" s="22" t="str">
        <f t="shared" ca="1" si="115"/>
        <v>201905</v>
      </c>
      <c r="F3694" s="22">
        <v>2019</v>
      </c>
    </row>
    <row r="3695" spans="1:6" ht="15.75">
      <c r="A3695" s="22" t="s">
        <v>1441</v>
      </c>
      <c r="B3695" s="26">
        <v>43613</v>
      </c>
      <c r="C3695" s="27">
        <v>60.09</v>
      </c>
      <c r="D3695" s="25" t="str">
        <f t="shared" si="114"/>
        <v>201922</v>
      </c>
      <c r="E3695" s="22" t="str">
        <f t="shared" ca="1" si="115"/>
        <v>201905</v>
      </c>
      <c r="F3695" s="22">
        <v>2019</v>
      </c>
    </row>
    <row r="3696" spans="1:6" ht="15.75">
      <c r="A3696" s="22" t="s">
        <v>1442</v>
      </c>
      <c r="B3696" s="23">
        <v>43614</v>
      </c>
      <c r="C3696" s="24">
        <v>14.45</v>
      </c>
      <c r="D3696" s="25" t="str">
        <f t="shared" si="114"/>
        <v>201922</v>
      </c>
      <c r="E3696" s="22" t="str">
        <f t="shared" ca="1" si="115"/>
        <v>201905</v>
      </c>
      <c r="F3696" s="22">
        <v>2019</v>
      </c>
    </row>
    <row r="3697" spans="1:6" ht="15.75">
      <c r="A3697" s="22" t="s">
        <v>1442</v>
      </c>
      <c r="B3697" s="23">
        <v>43614</v>
      </c>
      <c r="C3697" s="24">
        <v>0.14000000000000001</v>
      </c>
      <c r="D3697" s="25" t="str">
        <f t="shared" si="114"/>
        <v>201922</v>
      </c>
      <c r="E3697" s="22" t="str">
        <f t="shared" ca="1" si="115"/>
        <v>201905</v>
      </c>
      <c r="F3697" s="22">
        <v>2019</v>
      </c>
    </row>
    <row r="3698" spans="1:6" ht="15.75">
      <c r="A3698" s="22" t="s">
        <v>1443</v>
      </c>
      <c r="B3698" s="20">
        <v>43614</v>
      </c>
      <c r="C3698" s="21">
        <v>0</v>
      </c>
      <c r="D3698" s="25" t="str">
        <f t="shared" si="114"/>
        <v>201922</v>
      </c>
      <c r="E3698" s="22" t="str">
        <f t="shared" ca="1" si="115"/>
        <v>201905</v>
      </c>
      <c r="F3698" s="22">
        <v>2019</v>
      </c>
    </row>
    <row r="3699" spans="1:6" ht="15.75">
      <c r="A3699" s="22" t="s">
        <v>1441</v>
      </c>
      <c r="B3699" s="26">
        <v>43614</v>
      </c>
      <c r="C3699" s="27">
        <v>60.58</v>
      </c>
      <c r="D3699" s="25" t="str">
        <f t="shared" si="114"/>
        <v>201922</v>
      </c>
      <c r="E3699" s="22" t="str">
        <f t="shared" ca="1" si="115"/>
        <v>201905</v>
      </c>
      <c r="F3699" s="22">
        <v>2019</v>
      </c>
    </row>
    <row r="3700" spans="1:6" ht="15.75">
      <c r="A3700" s="22" t="s">
        <v>1442</v>
      </c>
      <c r="B3700" s="23">
        <v>43615</v>
      </c>
      <c r="C3700" s="24">
        <v>13.98</v>
      </c>
      <c r="D3700" s="25" t="str">
        <f t="shared" si="114"/>
        <v>201922</v>
      </c>
      <c r="E3700" s="22" t="str">
        <f t="shared" ca="1" si="115"/>
        <v>201905</v>
      </c>
      <c r="F3700" s="22">
        <v>2019</v>
      </c>
    </row>
    <row r="3701" spans="1:6" ht="15.75">
      <c r="A3701" s="22" t="s">
        <v>1442</v>
      </c>
      <c r="B3701" s="23">
        <v>43615</v>
      </c>
      <c r="C3701" s="24">
        <v>0.39</v>
      </c>
      <c r="D3701" s="25" t="str">
        <f t="shared" si="114"/>
        <v>201922</v>
      </c>
      <c r="E3701" s="22" t="str">
        <f t="shared" ca="1" si="115"/>
        <v>201905</v>
      </c>
      <c r="F3701" s="22">
        <v>2019</v>
      </c>
    </row>
    <row r="3702" spans="1:6" ht="15.75">
      <c r="A3702" s="22" t="s">
        <v>1443</v>
      </c>
      <c r="B3702" s="20">
        <v>43615</v>
      </c>
      <c r="C3702" s="21">
        <v>0.34999999403953602</v>
      </c>
      <c r="D3702" s="25" t="str">
        <f t="shared" si="114"/>
        <v>201922</v>
      </c>
      <c r="E3702" s="22" t="str">
        <f t="shared" ca="1" si="115"/>
        <v>201905</v>
      </c>
      <c r="F3702" s="22">
        <v>2019</v>
      </c>
    </row>
    <row r="3703" spans="1:6" ht="15.75">
      <c r="A3703" s="22" t="s">
        <v>1441</v>
      </c>
      <c r="B3703" s="26">
        <v>43615</v>
      </c>
      <c r="C3703" s="27">
        <v>60.05</v>
      </c>
      <c r="D3703" s="25" t="str">
        <f t="shared" si="114"/>
        <v>201922</v>
      </c>
      <c r="E3703" s="22" t="str">
        <f t="shared" ca="1" si="115"/>
        <v>201905</v>
      </c>
      <c r="F3703" s="22">
        <v>2019</v>
      </c>
    </row>
    <row r="3704" spans="1:6" ht="15.75">
      <c r="A3704" s="22" t="s">
        <v>1442</v>
      </c>
      <c r="B3704" s="23">
        <v>43616</v>
      </c>
      <c r="C3704" s="24">
        <v>9.93</v>
      </c>
      <c r="D3704" s="25" t="str">
        <f t="shared" si="114"/>
        <v>201922</v>
      </c>
      <c r="E3704" s="22" t="str">
        <f t="shared" ca="1" si="115"/>
        <v>201905</v>
      </c>
      <c r="F3704" s="22">
        <v>2019</v>
      </c>
    </row>
    <row r="3705" spans="1:6" ht="15.75">
      <c r="A3705" s="22" t="s">
        <v>1442</v>
      </c>
      <c r="B3705" s="23">
        <v>43616</v>
      </c>
      <c r="C3705" s="24">
        <v>0.39</v>
      </c>
      <c r="D3705" s="25" t="str">
        <f t="shared" si="114"/>
        <v>201922</v>
      </c>
      <c r="E3705" s="22" t="str">
        <f t="shared" ca="1" si="115"/>
        <v>201905</v>
      </c>
      <c r="F3705" s="22">
        <v>2019</v>
      </c>
    </row>
    <row r="3706" spans="1:6" ht="15.75">
      <c r="A3706" s="22" t="s">
        <v>1443</v>
      </c>
      <c r="B3706" s="20">
        <v>43616</v>
      </c>
      <c r="C3706" s="21">
        <v>0</v>
      </c>
      <c r="D3706" s="25" t="str">
        <f t="shared" si="114"/>
        <v>201922</v>
      </c>
      <c r="E3706" s="22" t="str">
        <f t="shared" ca="1" si="115"/>
        <v>201905</v>
      </c>
      <c r="F3706" s="22">
        <v>2019</v>
      </c>
    </row>
    <row r="3707" spans="1:6" ht="15.75">
      <c r="A3707" s="22" t="s">
        <v>1441</v>
      </c>
      <c r="B3707" s="26">
        <v>43616</v>
      </c>
      <c r="C3707" s="27">
        <v>59.57</v>
      </c>
      <c r="D3707" s="25" t="str">
        <f t="shared" si="114"/>
        <v>201922</v>
      </c>
      <c r="E3707" s="22" t="str">
        <f t="shared" ca="1" si="115"/>
        <v>201905</v>
      </c>
      <c r="F3707" s="22">
        <v>2019</v>
      </c>
    </row>
    <row r="3708" spans="1:6" ht="15.75">
      <c r="A3708" s="22" t="s">
        <v>1442</v>
      </c>
      <c r="B3708" s="23">
        <v>43617</v>
      </c>
      <c r="C3708" s="24">
        <v>5.01</v>
      </c>
      <c r="D3708" s="25" t="str">
        <f t="shared" si="114"/>
        <v>201922</v>
      </c>
      <c r="E3708" s="22" t="str">
        <f t="shared" ca="1" si="115"/>
        <v>201906</v>
      </c>
      <c r="F3708" s="22">
        <v>2019</v>
      </c>
    </row>
    <row r="3709" spans="1:6" ht="15.75">
      <c r="A3709" s="22" t="s">
        <v>1442</v>
      </c>
      <c r="B3709" s="23">
        <v>43617</v>
      </c>
      <c r="C3709" s="24">
        <v>0</v>
      </c>
      <c r="D3709" s="25" t="str">
        <f t="shared" si="114"/>
        <v>201922</v>
      </c>
      <c r="E3709" s="22" t="str">
        <f t="shared" ca="1" si="115"/>
        <v>201906</v>
      </c>
      <c r="F3709" s="22">
        <v>2019</v>
      </c>
    </row>
    <row r="3710" spans="1:6" ht="15.75">
      <c r="A3710" s="22" t="s">
        <v>1443</v>
      </c>
      <c r="B3710" s="20">
        <v>43617</v>
      </c>
      <c r="C3710" s="21">
        <v>0</v>
      </c>
      <c r="D3710" s="25" t="str">
        <f t="shared" si="114"/>
        <v>201922</v>
      </c>
      <c r="E3710" s="22" t="str">
        <f t="shared" ca="1" si="115"/>
        <v>201906</v>
      </c>
      <c r="F3710" s="22">
        <v>2019</v>
      </c>
    </row>
    <row r="3711" spans="1:6" ht="15.75">
      <c r="A3711" s="22" t="s">
        <v>1441</v>
      </c>
      <c r="B3711" s="26">
        <v>43617</v>
      </c>
      <c r="C3711" s="27">
        <v>59.31</v>
      </c>
      <c r="D3711" s="25" t="str">
        <f t="shared" si="114"/>
        <v>201922</v>
      </c>
      <c r="E3711" s="22" t="str">
        <f t="shared" ca="1" si="115"/>
        <v>201906</v>
      </c>
      <c r="F3711" s="22">
        <v>2019</v>
      </c>
    </row>
    <row r="3712" spans="1:6" ht="15.75">
      <c r="A3712" s="22" t="s">
        <v>1442</v>
      </c>
      <c r="B3712" s="23">
        <v>43618</v>
      </c>
      <c r="C3712" s="24">
        <v>7.94</v>
      </c>
      <c r="D3712" s="25" t="str">
        <f t="shared" si="114"/>
        <v>201922</v>
      </c>
      <c r="E3712" s="22" t="str">
        <f t="shared" ca="1" si="115"/>
        <v>201906</v>
      </c>
      <c r="F3712" s="22">
        <v>2019</v>
      </c>
    </row>
    <row r="3713" spans="1:6" ht="15.75">
      <c r="A3713" s="22" t="s">
        <v>1442</v>
      </c>
      <c r="B3713" s="23">
        <v>43618</v>
      </c>
      <c r="C3713" s="24">
        <v>0</v>
      </c>
      <c r="D3713" s="25" t="str">
        <f t="shared" si="114"/>
        <v>201922</v>
      </c>
      <c r="E3713" s="22" t="str">
        <f t="shared" ca="1" si="115"/>
        <v>201906</v>
      </c>
      <c r="F3713" s="22">
        <v>2019</v>
      </c>
    </row>
    <row r="3714" spans="1:6" ht="15.75">
      <c r="A3714" s="22" t="s">
        <v>1443</v>
      </c>
      <c r="B3714" s="20">
        <v>43618</v>
      </c>
      <c r="C3714" s="21">
        <v>0</v>
      </c>
      <c r="D3714" s="25" t="str">
        <f t="shared" si="114"/>
        <v>201922</v>
      </c>
      <c r="E3714" s="22" t="str">
        <f t="shared" ca="1" si="115"/>
        <v>201906</v>
      </c>
      <c r="F3714" s="22">
        <v>2019</v>
      </c>
    </row>
    <row r="3715" spans="1:6" ht="15.75">
      <c r="A3715" s="22" t="s">
        <v>1441</v>
      </c>
      <c r="B3715" s="26">
        <v>43618</v>
      </c>
      <c r="C3715" s="27">
        <v>60.22</v>
      </c>
      <c r="D3715" s="25" t="str">
        <f t="shared" ref="D3715:D3778" si="116">CONCATENATE(YEAR(B3715-WEEKDAY(B3715,3)+3),TEXT(WEEKNUM(B3715,21),"00"))</f>
        <v>201922</v>
      </c>
      <c r="E3715" s="22" t="str">
        <f t="shared" ref="E3715:E3778" ca="1" si="117">IF(
  AND(
    YEAR(B3715)=YEAR(TODAY())-1,
    MONTH(B3715)=MONTH(TODAY()),
    DAY(B3715)&gt;DAY($H$2)
  ),
  0,
  CONCATENATE(YEAR(B3715),TEXT(MONTH(B3715),"00"))
)</f>
        <v>201906</v>
      </c>
      <c r="F3715" s="22">
        <v>2019</v>
      </c>
    </row>
    <row r="3716" spans="1:6" ht="15.75">
      <c r="A3716" s="22" t="s">
        <v>1442</v>
      </c>
      <c r="B3716" s="23">
        <v>43619</v>
      </c>
      <c r="C3716" s="24">
        <v>11.11</v>
      </c>
      <c r="D3716" s="25" t="str">
        <f t="shared" si="116"/>
        <v>201923</v>
      </c>
      <c r="E3716" s="22" t="str">
        <f t="shared" ca="1" si="117"/>
        <v>201906</v>
      </c>
      <c r="F3716" s="22">
        <v>2019</v>
      </c>
    </row>
    <row r="3717" spans="1:6" ht="15.75">
      <c r="A3717" s="22" t="s">
        <v>1442</v>
      </c>
      <c r="B3717" s="23">
        <v>43619</v>
      </c>
      <c r="C3717" s="24">
        <v>0</v>
      </c>
      <c r="D3717" s="25" t="str">
        <f t="shared" si="116"/>
        <v>201923</v>
      </c>
      <c r="E3717" s="22" t="str">
        <f t="shared" ca="1" si="117"/>
        <v>201906</v>
      </c>
      <c r="F3717" s="22">
        <v>2019</v>
      </c>
    </row>
    <row r="3718" spans="1:6" ht="15.75">
      <c r="A3718" s="22" t="s">
        <v>1443</v>
      </c>
      <c r="B3718" s="20">
        <v>43619</v>
      </c>
      <c r="C3718" s="21">
        <v>312.19999775290501</v>
      </c>
      <c r="D3718" s="25" t="str">
        <f t="shared" si="116"/>
        <v>201923</v>
      </c>
      <c r="E3718" s="22" t="str">
        <f t="shared" ca="1" si="117"/>
        <v>201906</v>
      </c>
      <c r="F3718" s="22">
        <v>2019</v>
      </c>
    </row>
    <row r="3719" spans="1:6" ht="15.75">
      <c r="A3719" s="22" t="s">
        <v>1441</v>
      </c>
      <c r="B3719" s="26">
        <v>43619</v>
      </c>
      <c r="C3719" s="27">
        <v>72.22</v>
      </c>
      <c r="D3719" s="25" t="str">
        <f t="shared" si="116"/>
        <v>201923</v>
      </c>
      <c r="E3719" s="22" t="str">
        <f t="shared" ca="1" si="117"/>
        <v>201906</v>
      </c>
      <c r="F3719" s="22">
        <v>2019</v>
      </c>
    </row>
    <row r="3720" spans="1:6" ht="15.75">
      <c r="A3720" s="22" t="s">
        <v>1442</v>
      </c>
      <c r="B3720" s="23">
        <v>43620</v>
      </c>
      <c r="C3720" s="24">
        <v>10.39</v>
      </c>
      <c r="D3720" s="25" t="str">
        <f t="shared" si="116"/>
        <v>201923</v>
      </c>
      <c r="E3720" s="22" t="str">
        <f t="shared" ca="1" si="117"/>
        <v>201906</v>
      </c>
      <c r="F3720" s="22">
        <v>2019</v>
      </c>
    </row>
    <row r="3721" spans="1:6" ht="15.75">
      <c r="A3721" s="22" t="s">
        <v>1442</v>
      </c>
      <c r="B3721" s="23">
        <v>43620</v>
      </c>
      <c r="C3721" s="24">
        <v>0.4</v>
      </c>
      <c r="D3721" s="25" t="str">
        <f t="shared" si="116"/>
        <v>201923</v>
      </c>
      <c r="E3721" s="22" t="str">
        <f t="shared" ca="1" si="117"/>
        <v>201906</v>
      </c>
      <c r="F3721" s="22">
        <v>2019</v>
      </c>
    </row>
    <row r="3722" spans="1:6" ht="15.75">
      <c r="A3722" s="22" t="s">
        <v>1443</v>
      </c>
      <c r="B3722" s="20">
        <v>43620</v>
      </c>
      <c r="C3722" s="21">
        <v>234.49999254941901</v>
      </c>
      <c r="D3722" s="25" t="str">
        <f t="shared" si="116"/>
        <v>201923</v>
      </c>
      <c r="E3722" s="22" t="str">
        <f t="shared" ca="1" si="117"/>
        <v>201906</v>
      </c>
      <c r="F3722" s="22">
        <v>2019</v>
      </c>
    </row>
    <row r="3723" spans="1:6" ht="15.75">
      <c r="A3723" s="22" t="s">
        <v>1441</v>
      </c>
      <c r="B3723" s="26">
        <v>43620</v>
      </c>
      <c r="C3723" s="27">
        <v>79.89</v>
      </c>
      <c r="D3723" s="25" t="str">
        <f t="shared" si="116"/>
        <v>201923</v>
      </c>
      <c r="E3723" s="22" t="str">
        <f t="shared" ca="1" si="117"/>
        <v>201906</v>
      </c>
      <c r="F3723" s="22">
        <v>2019</v>
      </c>
    </row>
    <row r="3724" spans="1:6" ht="15.75">
      <c r="A3724" s="22" t="s">
        <v>1442</v>
      </c>
      <c r="B3724" s="23">
        <v>43621</v>
      </c>
      <c r="C3724" s="24">
        <v>12.15</v>
      </c>
      <c r="D3724" s="25" t="str">
        <f t="shared" si="116"/>
        <v>201923</v>
      </c>
      <c r="E3724" s="22" t="str">
        <f t="shared" ca="1" si="117"/>
        <v>201906</v>
      </c>
      <c r="F3724" s="22">
        <v>2019</v>
      </c>
    </row>
    <row r="3725" spans="1:6" ht="15.75">
      <c r="A3725" s="22" t="s">
        <v>1442</v>
      </c>
      <c r="B3725" s="23">
        <v>43621</v>
      </c>
      <c r="C3725" s="24">
        <v>0</v>
      </c>
      <c r="D3725" s="25" t="str">
        <f t="shared" si="116"/>
        <v>201923</v>
      </c>
      <c r="E3725" s="22" t="str">
        <f t="shared" ca="1" si="117"/>
        <v>201906</v>
      </c>
      <c r="F3725" s="22">
        <v>2019</v>
      </c>
    </row>
    <row r="3726" spans="1:6" ht="15.75">
      <c r="A3726" s="22" t="s">
        <v>1443</v>
      </c>
      <c r="B3726" s="20">
        <v>43621</v>
      </c>
      <c r="C3726" s="21">
        <v>157.84999608993499</v>
      </c>
      <c r="D3726" s="25" t="str">
        <f t="shared" si="116"/>
        <v>201923</v>
      </c>
      <c r="E3726" s="22" t="str">
        <f t="shared" ca="1" si="117"/>
        <v>201906</v>
      </c>
      <c r="F3726" s="22">
        <v>2019</v>
      </c>
    </row>
    <row r="3727" spans="1:6" ht="15.75">
      <c r="A3727" s="22" t="s">
        <v>1441</v>
      </c>
      <c r="B3727" s="26">
        <v>43621</v>
      </c>
      <c r="C3727" s="27">
        <v>79.38</v>
      </c>
      <c r="D3727" s="25" t="str">
        <f t="shared" si="116"/>
        <v>201923</v>
      </c>
      <c r="E3727" s="22" t="str">
        <f t="shared" ca="1" si="117"/>
        <v>201906</v>
      </c>
      <c r="F3727" s="22">
        <v>2019</v>
      </c>
    </row>
    <row r="3728" spans="1:6" ht="15.75">
      <c r="A3728" s="22" t="s">
        <v>1442</v>
      </c>
      <c r="B3728" s="23">
        <v>43622</v>
      </c>
      <c r="C3728" s="24">
        <v>87.97</v>
      </c>
      <c r="D3728" s="25" t="str">
        <f t="shared" si="116"/>
        <v>201923</v>
      </c>
      <c r="E3728" s="22" t="str">
        <f t="shared" ca="1" si="117"/>
        <v>201906</v>
      </c>
      <c r="F3728" s="22">
        <v>2019</v>
      </c>
    </row>
    <row r="3729" spans="1:6" ht="15.75">
      <c r="A3729" s="22" t="s">
        <v>1442</v>
      </c>
      <c r="B3729" s="23">
        <v>43622</v>
      </c>
      <c r="C3729" s="24">
        <v>0.4</v>
      </c>
      <c r="D3729" s="25" t="str">
        <f t="shared" si="116"/>
        <v>201923</v>
      </c>
      <c r="E3729" s="22" t="str">
        <f t="shared" ca="1" si="117"/>
        <v>201906</v>
      </c>
      <c r="F3729" s="22">
        <v>2019</v>
      </c>
    </row>
    <row r="3730" spans="1:6" ht="15.75">
      <c r="A3730" s="22" t="s">
        <v>1443</v>
      </c>
      <c r="B3730" s="20">
        <v>43622</v>
      </c>
      <c r="C3730" s="21">
        <v>137.199999183416</v>
      </c>
      <c r="D3730" s="25" t="str">
        <f t="shared" si="116"/>
        <v>201923</v>
      </c>
      <c r="E3730" s="22" t="str">
        <f t="shared" ca="1" si="117"/>
        <v>201906</v>
      </c>
      <c r="F3730" s="22">
        <v>2019</v>
      </c>
    </row>
    <row r="3731" spans="1:6" ht="15.75">
      <c r="A3731" s="22" t="s">
        <v>1441</v>
      </c>
      <c r="B3731" s="26">
        <v>43622</v>
      </c>
      <c r="C3731" s="27">
        <v>80.31</v>
      </c>
      <c r="D3731" s="25" t="str">
        <f t="shared" si="116"/>
        <v>201923</v>
      </c>
      <c r="E3731" s="22" t="str">
        <f t="shared" ca="1" si="117"/>
        <v>201906</v>
      </c>
      <c r="F3731" s="22">
        <v>2019</v>
      </c>
    </row>
    <row r="3732" spans="1:6" ht="15.75">
      <c r="A3732" s="22" t="s">
        <v>1442</v>
      </c>
      <c r="B3732" s="23">
        <v>43623</v>
      </c>
      <c r="C3732" s="24">
        <v>250.7</v>
      </c>
      <c r="D3732" s="25" t="str">
        <f t="shared" si="116"/>
        <v>201923</v>
      </c>
      <c r="E3732" s="22" t="str">
        <f t="shared" ca="1" si="117"/>
        <v>201906</v>
      </c>
      <c r="F3732" s="22">
        <v>2019</v>
      </c>
    </row>
    <row r="3733" spans="1:6" ht="15.75">
      <c r="A3733" s="22" t="s">
        <v>1442</v>
      </c>
      <c r="B3733" s="23">
        <v>43623</v>
      </c>
      <c r="C3733" s="24">
        <v>2.65</v>
      </c>
      <c r="D3733" s="25" t="str">
        <f t="shared" si="116"/>
        <v>201923</v>
      </c>
      <c r="E3733" s="22" t="str">
        <f t="shared" ca="1" si="117"/>
        <v>201906</v>
      </c>
      <c r="F3733" s="22">
        <v>2019</v>
      </c>
    </row>
    <row r="3734" spans="1:6" ht="15.75">
      <c r="A3734" s="22" t="s">
        <v>1443</v>
      </c>
      <c r="B3734" s="20">
        <v>43623</v>
      </c>
      <c r="C3734" s="21">
        <v>108.499996840954</v>
      </c>
      <c r="D3734" s="25" t="str">
        <f t="shared" si="116"/>
        <v>201923</v>
      </c>
      <c r="E3734" s="22" t="str">
        <f t="shared" ca="1" si="117"/>
        <v>201906</v>
      </c>
      <c r="F3734" s="22">
        <v>2019</v>
      </c>
    </row>
    <row r="3735" spans="1:6" ht="15.75">
      <c r="A3735" s="22" t="s">
        <v>1441</v>
      </c>
      <c r="B3735" s="26">
        <v>43623</v>
      </c>
      <c r="C3735" s="27">
        <v>79.650000000000006</v>
      </c>
      <c r="D3735" s="25" t="str">
        <f t="shared" si="116"/>
        <v>201923</v>
      </c>
      <c r="E3735" s="22" t="str">
        <f t="shared" ca="1" si="117"/>
        <v>201906</v>
      </c>
      <c r="F3735" s="22">
        <v>2019</v>
      </c>
    </row>
    <row r="3736" spans="1:6" ht="15.75">
      <c r="A3736" s="22" t="s">
        <v>1442</v>
      </c>
      <c r="B3736" s="23">
        <v>43624</v>
      </c>
      <c r="C3736" s="24">
        <v>174.73</v>
      </c>
      <c r="D3736" s="25" t="str">
        <f t="shared" si="116"/>
        <v>201923</v>
      </c>
      <c r="E3736" s="22" t="str">
        <f t="shared" ca="1" si="117"/>
        <v>201906</v>
      </c>
      <c r="F3736" s="22">
        <v>2019</v>
      </c>
    </row>
    <row r="3737" spans="1:6" ht="15.75">
      <c r="A3737" s="22" t="s">
        <v>1442</v>
      </c>
      <c r="B3737" s="23">
        <v>43624</v>
      </c>
      <c r="C3737" s="24">
        <v>1.43</v>
      </c>
      <c r="D3737" s="25" t="str">
        <f t="shared" si="116"/>
        <v>201923</v>
      </c>
      <c r="E3737" s="22" t="str">
        <f t="shared" ca="1" si="117"/>
        <v>201906</v>
      </c>
      <c r="F3737" s="22">
        <v>2019</v>
      </c>
    </row>
    <row r="3738" spans="1:6" ht="15.75">
      <c r="A3738" s="22" t="s">
        <v>1443</v>
      </c>
      <c r="B3738" s="20">
        <v>43624</v>
      </c>
      <c r="C3738" s="21">
        <v>126.69999843835799</v>
      </c>
      <c r="D3738" s="25" t="str">
        <f t="shared" si="116"/>
        <v>201923</v>
      </c>
      <c r="E3738" s="22" t="str">
        <f t="shared" ca="1" si="117"/>
        <v>201906</v>
      </c>
      <c r="F3738" s="22">
        <v>2019</v>
      </c>
    </row>
    <row r="3739" spans="1:6" ht="15.75">
      <c r="A3739" s="22" t="s">
        <v>1441</v>
      </c>
      <c r="B3739" s="26">
        <v>43624</v>
      </c>
      <c r="C3739" s="27">
        <v>79.099999999999994</v>
      </c>
      <c r="D3739" s="25" t="str">
        <f t="shared" si="116"/>
        <v>201923</v>
      </c>
      <c r="E3739" s="22" t="str">
        <f t="shared" ca="1" si="117"/>
        <v>201906</v>
      </c>
      <c r="F3739" s="22">
        <v>2019</v>
      </c>
    </row>
    <row r="3740" spans="1:6" ht="15.75">
      <c r="A3740" s="22" t="s">
        <v>1442</v>
      </c>
      <c r="B3740" s="23">
        <v>43625</v>
      </c>
      <c r="C3740" s="24">
        <v>121.43</v>
      </c>
      <c r="D3740" s="25" t="str">
        <f t="shared" si="116"/>
        <v>201923</v>
      </c>
      <c r="E3740" s="22" t="str">
        <f t="shared" ca="1" si="117"/>
        <v>201906</v>
      </c>
      <c r="F3740" s="22">
        <v>2019</v>
      </c>
    </row>
    <row r="3741" spans="1:6" ht="15.75">
      <c r="A3741" s="22" t="s">
        <v>1442</v>
      </c>
      <c r="B3741" s="23">
        <v>43625</v>
      </c>
      <c r="C3741" s="24">
        <v>1.19</v>
      </c>
      <c r="D3741" s="25" t="str">
        <f t="shared" si="116"/>
        <v>201923</v>
      </c>
      <c r="E3741" s="22" t="str">
        <f t="shared" ca="1" si="117"/>
        <v>201906</v>
      </c>
      <c r="F3741" s="22">
        <v>2019</v>
      </c>
    </row>
    <row r="3742" spans="1:6" ht="15.75">
      <c r="A3742" s="22" t="s">
        <v>1443</v>
      </c>
      <c r="B3742" s="20">
        <v>43625</v>
      </c>
      <c r="C3742" s="21">
        <v>137.54999798536301</v>
      </c>
      <c r="D3742" s="25" t="str">
        <f t="shared" si="116"/>
        <v>201923</v>
      </c>
      <c r="E3742" s="22" t="str">
        <f t="shared" ca="1" si="117"/>
        <v>201906</v>
      </c>
      <c r="F3742" s="22">
        <v>2019</v>
      </c>
    </row>
    <row r="3743" spans="1:6" ht="15.75">
      <c r="A3743" s="22" t="s">
        <v>1441</v>
      </c>
      <c r="B3743" s="26">
        <v>43625</v>
      </c>
      <c r="C3743" s="27">
        <v>80.44</v>
      </c>
      <c r="D3743" s="25" t="str">
        <f t="shared" si="116"/>
        <v>201923</v>
      </c>
      <c r="E3743" s="22" t="str">
        <f t="shared" ca="1" si="117"/>
        <v>201906</v>
      </c>
      <c r="F3743" s="22">
        <v>2019</v>
      </c>
    </row>
    <row r="3744" spans="1:6" ht="15.75">
      <c r="A3744" s="22" t="s">
        <v>1442</v>
      </c>
      <c r="B3744" s="23">
        <v>43626</v>
      </c>
      <c r="C3744" s="24">
        <v>130.19</v>
      </c>
      <c r="D3744" s="25" t="str">
        <f t="shared" si="116"/>
        <v>201924</v>
      </c>
      <c r="E3744" s="22" t="str">
        <f t="shared" ca="1" si="117"/>
        <v>201906</v>
      </c>
      <c r="F3744" s="22">
        <v>2019</v>
      </c>
    </row>
    <row r="3745" spans="1:6" ht="15.75">
      <c r="A3745" s="22" t="s">
        <v>1442</v>
      </c>
      <c r="B3745" s="23">
        <v>43626</v>
      </c>
      <c r="C3745" s="24">
        <v>3.16</v>
      </c>
      <c r="D3745" s="25" t="str">
        <f t="shared" si="116"/>
        <v>201924</v>
      </c>
      <c r="E3745" s="22" t="str">
        <f t="shared" ca="1" si="117"/>
        <v>201906</v>
      </c>
      <c r="F3745" s="22">
        <v>2019</v>
      </c>
    </row>
    <row r="3746" spans="1:6" ht="15.75">
      <c r="A3746" s="22" t="s">
        <v>1443</v>
      </c>
      <c r="B3746" s="20">
        <v>43626</v>
      </c>
      <c r="C3746" s="21">
        <v>159.59999102354101</v>
      </c>
      <c r="D3746" s="25" t="str">
        <f t="shared" si="116"/>
        <v>201924</v>
      </c>
      <c r="E3746" s="22" t="str">
        <f t="shared" ca="1" si="117"/>
        <v>201906</v>
      </c>
      <c r="F3746" s="22">
        <v>2019</v>
      </c>
    </row>
    <row r="3747" spans="1:6" ht="15.75">
      <c r="A3747" s="22" t="s">
        <v>1441</v>
      </c>
      <c r="B3747" s="26">
        <v>43626</v>
      </c>
      <c r="C3747" s="27">
        <v>65.349999999999994</v>
      </c>
      <c r="D3747" s="25" t="str">
        <f t="shared" si="116"/>
        <v>201924</v>
      </c>
      <c r="E3747" s="22" t="str">
        <f t="shared" ca="1" si="117"/>
        <v>201906</v>
      </c>
      <c r="F3747" s="22">
        <v>2019</v>
      </c>
    </row>
    <row r="3748" spans="1:6" ht="15.75">
      <c r="A3748" s="22" t="s">
        <v>1442</v>
      </c>
      <c r="B3748" s="23">
        <v>43627</v>
      </c>
      <c r="C3748" s="24">
        <v>84.31</v>
      </c>
      <c r="D3748" s="25" t="str">
        <f t="shared" si="116"/>
        <v>201924</v>
      </c>
      <c r="E3748" s="22" t="str">
        <f t="shared" ca="1" si="117"/>
        <v>201906</v>
      </c>
      <c r="F3748" s="22">
        <v>2019</v>
      </c>
    </row>
    <row r="3749" spans="1:6" ht="15.75">
      <c r="A3749" s="22" t="s">
        <v>1442</v>
      </c>
      <c r="B3749" s="23">
        <v>43627</v>
      </c>
      <c r="C3749" s="24">
        <v>0.78</v>
      </c>
      <c r="D3749" s="25" t="str">
        <f t="shared" si="116"/>
        <v>201924</v>
      </c>
      <c r="E3749" s="22" t="str">
        <f t="shared" ca="1" si="117"/>
        <v>201906</v>
      </c>
      <c r="F3749" s="22">
        <v>2019</v>
      </c>
    </row>
    <row r="3750" spans="1:6" ht="15.75">
      <c r="A3750" s="22" t="s">
        <v>1443</v>
      </c>
      <c r="B3750" s="20">
        <v>43627</v>
      </c>
      <c r="C3750" s="21">
        <v>117.65000283718101</v>
      </c>
      <c r="D3750" s="25" t="str">
        <f t="shared" si="116"/>
        <v>201924</v>
      </c>
      <c r="E3750" s="22" t="str">
        <f t="shared" ca="1" si="117"/>
        <v>201906</v>
      </c>
      <c r="F3750" s="22">
        <v>2019</v>
      </c>
    </row>
    <row r="3751" spans="1:6" ht="15.75">
      <c r="A3751" s="22" t="s">
        <v>1441</v>
      </c>
      <c r="B3751" s="26">
        <v>43627</v>
      </c>
      <c r="C3751" s="27">
        <v>60.49</v>
      </c>
      <c r="D3751" s="25" t="str">
        <f t="shared" si="116"/>
        <v>201924</v>
      </c>
      <c r="E3751" s="22" t="str">
        <f t="shared" ca="1" si="117"/>
        <v>201906</v>
      </c>
      <c r="F3751" s="22">
        <v>2019</v>
      </c>
    </row>
    <row r="3752" spans="1:6" ht="15.75">
      <c r="A3752" s="22" t="s">
        <v>1442</v>
      </c>
      <c r="B3752" s="23">
        <v>43628</v>
      </c>
      <c r="C3752" s="24">
        <v>61.18</v>
      </c>
      <c r="D3752" s="25" t="str">
        <f t="shared" si="116"/>
        <v>201924</v>
      </c>
      <c r="E3752" s="22" t="str">
        <f t="shared" ca="1" si="117"/>
        <v>201906</v>
      </c>
      <c r="F3752" s="22">
        <v>2019</v>
      </c>
    </row>
    <row r="3753" spans="1:6" ht="15.75">
      <c r="A3753" s="22" t="s">
        <v>1442</v>
      </c>
      <c r="B3753" s="23">
        <v>43628</v>
      </c>
      <c r="C3753" s="24">
        <v>0.4</v>
      </c>
      <c r="D3753" s="25" t="str">
        <f t="shared" si="116"/>
        <v>201924</v>
      </c>
      <c r="E3753" s="22" t="str">
        <f t="shared" ca="1" si="117"/>
        <v>201906</v>
      </c>
      <c r="F3753" s="22">
        <v>2019</v>
      </c>
    </row>
    <row r="3754" spans="1:6" ht="15.75">
      <c r="A3754" s="22" t="s">
        <v>1443</v>
      </c>
      <c r="B3754" s="20">
        <v>43628</v>
      </c>
      <c r="C3754" s="21">
        <v>101.400002598763</v>
      </c>
      <c r="D3754" s="25" t="str">
        <f t="shared" si="116"/>
        <v>201924</v>
      </c>
      <c r="E3754" s="22" t="str">
        <f t="shared" ca="1" si="117"/>
        <v>201906</v>
      </c>
      <c r="F3754" s="22">
        <v>2019</v>
      </c>
    </row>
    <row r="3755" spans="1:6" ht="15.75">
      <c r="A3755" s="22" t="s">
        <v>1441</v>
      </c>
      <c r="B3755" s="26">
        <v>43628</v>
      </c>
      <c r="C3755" s="27">
        <v>60.26</v>
      </c>
      <c r="D3755" s="25" t="str">
        <f t="shared" si="116"/>
        <v>201924</v>
      </c>
      <c r="E3755" s="22" t="str">
        <f t="shared" ca="1" si="117"/>
        <v>201906</v>
      </c>
      <c r="F3755" s="22">
        <v>2019</v>
      </c>
    </row>
    <row r="3756" spans="1:6" ht="15.75">
      <c r="A3756" s="22" t="s">
        <v>1442</v>
      </c>
      <c r="B3756" s="23">
        <v>43629</v>
      </c>
      <c r="C3756" s="24">
        <v>46.32</v>
      </c>
      <c r="D3756" s="25" t="str">
        <f t="shared" si="116"/>
        <v>201924</v>
      </c>
      <c r="E3756" s="22" t="str">
        <f t="shared" ca="1" si="117"/>
        <v>201906</v>
      </c>
      <c r="F3756" s="22">
        <v>2019</v>
      </c>
    </row>
    <row r="3757" spans="1:6" ht="15.75">
      <c r="A3757" s="22" t="s">
        <v>1442</v>
      </c>
      <c r="B3757" s="23">
        <v>43629</v>
      </c>
      <c r="C3757" s="24">
        <v>1.59</v>
      </c>
      <c r="D3757" s="25" t="str">
        <f t="shared" si="116"/>
        <v>201924</v>
      </c>
      <c r="E3757" s="22" t="str">
        <f t="shared" ca="1" si="117"/>
        <v>201906</v>
      </c>
      <c r="F3757" s="22">
        <v>2019</v>
      </c>
    </row>
    <row r="3758" spans="1:6" ht="15.75">
      <c r="A3758" s="22" t="s">
        <v>1443</v>
      </c>
      <c r="B3758" s="20">
        <v>43629</v>
      </c>
      <c r="C3758" s="21">
        <v>78.600003421306596</v>
      </c>
      <c r="D3758" s="25" t="str">
        <f t="shared" si="116"/>
        <v>201924</v>
      </c>
      <c r="E3758" s="22" t="str">
        <f t="shared" ca="1" si="117"/>
        <v>201906</v>
      </c>
      <c r="F3758" s="22">
        <v>2019</v>
      </c>
    </row>
    <row r="3759" spans="1:6" ht="15.75">
      <c r="A3759" s="22" t="s">
        <v>1441</v>
      </c>
      <c r="B3759" s="26">
        <v>43629</v>
      </c>
      <c r="C3759" s="27">
        <v>60.83</v>
      </c>
      <c r="D3759" s="25" t="str">
        <f t="shared" si="116"/>
        <v>201924</v>
      </c>
      <c r="E3759" s="22" t="str">
        <f t="shared" ca="1" si="117"/>
        <v>201906</v>
      </c>
      <c r="F3759" s="22">
        <v>2019</v>
      </c>
    </row>
    <row r="3760" spans="1:6" ht="15.75">
      <c r="A3760" s="22" t="s">
        <v>1442</v>
      </c>
      <c r="B3760" s="23">
        <v>43630</v>
      </c>
      <c r="C3760" s="24">
        <v>35.520000000000003</v>
      </c>
      <c r="D3760" s="25" t="str">
        <f t="shared" si="116"/>
        <v>201924</v>
      </c>
      <c r="E3760" s="22" t="str">
        <f t="shared" ca="1" si="117"/>
        <v>201906</v>
      </c>
      <c r="F3760" s="22">
        <v>2019</v>
      </c>
    </row>
    <row r="3761" spans="1:6" ht="15.75">
      <c r="A3761" s="22" t="s">
        <v>1442</v>
      </c>
      <c r="B3761" s="23">
        <v>43630</v>
      </c>
      <c r="C3761" s="24">
        <v>1.35</v>
      </c>
      <c r="D3761" s="25" t="str">
        <f t="shared" si="116"/>
        <v>201924</v>
      </c>
      <c r="E3761" s="22" t="str">
        <f t="shared" ca="1" si="117"/>
        <v>201906</v>
      </c>
      <c r="F3761" s="22">
        <v>2019</v>
      </c>
    </row>
    <row r="3762" spans="1:6" ht="15.75">
      <c r="A3762" s="22" t="s">
        <v>1443</v>
      </c>
      <c r="B3762" s="20">
        <v>43630</v>
      </c>
      <c r="C3762" s="21">
        <v>79.200002789497404</v>
      </c>
      <c r="D3762" s="25" t="str">
        <f t="shared" si="116"/>
        <v>201924</v>
      </c>
      <c r="E3762" s="22" t="str">
        <f t="shared" ca="1" si="117"/>
        <v>201906</v>
      </c>
      <c r="F3762" s="22">
        <v>2019</v>
      </c>
    </row>
    <row r="3763" spans="1:6" ht="15.75">
      <c r="A3763" s="22" t="s">
        <v>1441</v>
      </c>
      <c r="B3763" s="26">
        <v>43630</v>
      </c>
      <c r="C3763" s="27">
        <v>59.86</v>
      </c>
      <c r="D3763" s="25" t="str">
        <f t="shared" si="116"/>
        <v>201924</v>
      </c>
      <c r="E3763" s="22" t="str">
        <f t="shared" ca="1" si="117"/>
        <v>201906</v>
      </c>
      <c r="F3763" s="22">
        <v>2019</v>
      </c>
    </row>
    <row r="3764" spans="1:6" ht="15.75">
      <c r="A3764" s="22" t="s">
        <v>1442</v>
      </c>
      <c r="B3764" s="23">
        <v>43631</v>
      </c>
      <c r="C3764" s="24">
        <v>29.04</v>
      </c>
      <c r="D3764" s="25" t="str">
        <f t="shared" si="116"/>
        <v>201924</v>
      </c>
      <c r="E3764" s="22" t="str">
        <f t="shared" ca="1" si="117"/>
        <v>201906</v>
      </c>
      <c r="F3764" s="22">
        <v>2019</v>
      </c>
    </row>
    <row r="3765" spans="1:6" ht="15.75">
      <c r="A3765" s="22" t="s">
        <v>1442</v>
      </c>
      <c r="B3765" s="23">
        <v>43631</v>
      </c>
      <c r="C3765" s="24">
        <v>0</v>
      </c>
      <c r="D3765" s="25" t="str">
        <f t="shared" si="116"/>
        <v>201924</v>
      </c>
      <c r="E3765" s="22" t="str">
        <f t="shared" ca="1" si="117"/>
        <v>201906</v>
      </c>
      <c r="F3765" s="22">
        <v>2019</v>
      </c>
    </row>
    <row r="3766" spans="1:6" ht="15.75">
      <c r="A3766" s="22" t="s">
        <v>1443</v>
      </c>
      <c r="B3766" s="20">
        <v>43631</v>
      </c>
      <c r="C3766" s="21">
        <v>80.7000017762184</v>
      </c>
      <c r="D3766" s="25" t="str">
        <f t="shared" si="116"/>
        <v>201924</v>
      </c>
      <c r="E3766" s="22" t="str">
        <f t="shared" ca="1" si="117"/>
        <v>201906</v>
      </c>
      <c r="F3766" s="22">
        <v>2019</v>
      </c>
    </row>
    <row r="3767" spans="1:6" ht="15.75">
      <c r="A3767" s="22" t="s">
        <v>1441</v>
      </c>
      <c r="B3767" s="26">
        <v>43631</v>
      </c>
      <c r="C3767" s="27">
        <v>59.21</v>
      </c>
      <c r="D3767" s="25" t="str">
        <f t="shared" si="116"/>
        <v>201924</v>
      </c>
      <c r="E3767" s="22" t="str">
        <f t="shared" ca="1" si="117"/>
        <v>201906</v>
      </c>
      <c r="F3767" s="22">
        <v>2019</v>
      </c>
    </row>
    <row r="3768" spans="1:6" ht="15.75">
      <c r="A3768" s="22" t="s">
        <v>1442</v>
      </c>
      <c r="B3768" s="23">
        <v>43632</v>
      </c>
      <c r="C3768" s="24">
        <v>42.5</v>
      </c>
      <c r="D3768" s="25" t="str">
        <f t="shared" si="116"/>
        <v>201924</v>
      </c>
      <c r="E3768" s="22" t="str">
        <f t="shared" ca="1" si="117"/>
        <v>201906</v>
      </c>
      <c r="F3768" s="22">
        <v>2019</v>
      </c>
    </row>
    <row r="3769" spans="1:6" ht="15.75">
      <c r="A3769" s="22" t="s">
        <v>1442</v>
      </c>
      <c r="B3769" s="23">
        <v>43632</v>
      </c>
      <c r="C3769" s="24">
        <v>0.05</v>
      </c>
      <c r="D3769" s="25" t="str">
        <f t="shared" si="116"/>
        <v>201924</v>
      </c>
      <c r="E3769" s="22" t="str">
        <f t="shared" ca="1" si="117"/>
        <v>201906</v>
      </c>
      <c r="F3769" s="22">
        <v>2019</v>
      </c>
    </row>
    <row r="3770" spans="1:6" ht="15.75">
      <c r="A3770" s="22" t="s">
        <v>1443</v>
      </c>
      <c r="B3770" s="20">
        <v>43632</v>
      </c>
      <c r="C3770" s="21">
        <v>98.400002717971802</v>
      </c>
      <c r="D3770" s="25" t="str">
        <f t="shared" si="116"/>
        <v>201924</v>
      </c>
      <c r="E3770" s="22" t="str">
        <f t="shared" ca="1" si="117"/>
        <v>201906</v>
      </c>
      <c r="F3770" s="22">
        <v>2019</v>
      </c>
    </row>
    <row r="3771" spans="1:6" ht="15.75">
      <c r="A3771" s="22" t="s">
        <v>1441</v>
      </c>
      <c r="B3771" s="26">
        <v>43632</v>
      </c>
      <c r="C3771" s="27">
        <v>59.86</v>
      </c>
      <c r="D3771" s="25" t="str">
        <f t="shared" si="116"/>
        <v>201924</v>
      </c>
      <c r="E3771" s="22" t="str">
        <f t="shared" ca="1" si="117"/>
        <v>201906</v>
      </c>
      <c r="F3771" s="22">
        <v>2019</v>
      </c>
    </row>
    <row r="3772" spans="1:6" ht="15.75">
      <c r="A3772" s="22" t="s">
        <v>1442</v>
      </c>
      <c r="B3772" s="23">
        <v>43633</v>
      </c>
      <c r="C3772" s="24">
        <v>41.26</v>
      </c>
      <c r="D3772" s="25" t="str">
        <f t="shared" si="116"/>
        <v>201925</v>
      </c>
      <c r="E3772" s="22" t="str">
        <f t="shared" ca="1" si="117"/>
        <v>201906</v>
      </c>
      <c r="F3772" s="22">
        <v>2019</v>
      </c>
    </row>
    <row r="3773" spans="1:6" ht="15.75">
      <c r="A3773" s="22" t="s">
        <v>1442</v>
      </c>
      <c r="B3773" s="23">
        <v>43633</v>
      </c>
      <c r="C3773" s="24">
        <v>0.4</v>
      </c>
      <c r="D3773" s="25" t="str">
        <f t="shared" si="116"/>
        <v>201925</v>
      </c>
      <c r="E3773" s="22" t="str">
        <f t="shared" ca="1" si="117"/>
        <v>201906</v>
      </c>
      <c r="F3773" s="22">
        <v>2019</v>
      </c>
    </row>
    <row r="3774" spans="1:6" ht="15.75">
      <c r="A3774" s="22" t="s">
        <v>1443</v>
      </c>
      <c r="B3774" s="20">
        <v>43633</v>
      </c>
      <c r="C3774" s="21">
        <v>108.90000289678601</v>
      </c>
      <c r="D3774" s="25" t="str">
        <f t="shared" si="116"/>
        <v>201925</v>
      </c>
      <c r="E3774" s="22" t="str">
        <f t="shared" ca="1" si="117"/>
        <v>201906</v>
      </c>
      <c r="F3774" s="22">
        <v>2019</v>
      </c>
    </row>
    <row r="3775" spans="1:6" ht="15.75">
      <c r="A3775" s="22" t="s">
        <v>1441</v>
      </c>
      <c r="B3775" s="26">
        <v>43633</v>
      </c>
      <c r="C3775" s="27">
        <v>29.13</v>
      </c>
      <c r="D3775" s="25" t="str">
        <f t="shared" si="116"/>
        <v>201925</v>
      </c>
      <c r="E3775" s="22" t="str">
        <f t="shared" ca="1" si="117"/>
        <v>201906</v>
      </c>
      <c r="F3775" s="22">
        <v>2019</v>
      </c>
    </row>
    <row r="3776" spans="1:6" ht="15.75">
      <c r="A3776" s="22" t="s">
        <v>1442</v>
      </c>
      <c r="B3776" s="23">
        <v>43634</v>
      </c>
      <c r="C3776" s="24">
        <v>23.24</v>
      </c>
      <c r="D3776" s="25" t="str">
        <f t="shared" si="116"/>
        <v>201925</v>
      </c>
      <c r="E3776" s="22" t="str">
        <f t="shared" ca="1" si="117"/>
        <v>201906</v>
      </c>
      <c r="F3776" s="22">
        <v>2019</v>
      </c>
    </row>
    <row r="3777" spans="1:6" ht="15.75">
      <c r="A3777" s="22" t="s">
        <v>1442</v>
      </c>
      <c r="B3777" s="23">
        <v>43634</v>
      </c>
      <c r="C3777" s="24">
        <v>0.34</v>
      </c>
      <c r="D3777" s="25" t="str">
        <f t="shared" si="116"/>
        <v>201925</v>
      </c>
      <c r="E3777" s="22" t="str">
        <f t="shared" ca="1" si="117"/>
        <v>201906</v>
      </c>
      <c r="F3777" s="22">
        <v>2019</v>
      </c>
    </row>
    <row r="3778" spans="1:6" ht="15.75">
      <c r="A3778" s="22" t="s">
        <v>1443</v>
      </c>
      <c r="B3778" s="20">
        <v>43634</v>
      </c>
      <c r="C3778" s="21">
        <v>118.80000638961801</v>
      </c>
      <c r="D3778" s="25" t="str">
        <f t="shared" si="116"/>
        <v>201925</v>
      </c>
      <c r="E3778" s="22" t="str">
        <f t="shared" ca="1" si="117"/>
        <v>201906</v>
      </c>
      <c r="F3778" s="22">
        <v>2019</v>
      </c>
    </row>
    <row r="3779" spans="1:6" ht="15.75">
      <c r="A3779" s="22" t="s">
        <v>1441</v>
      </c>
      <c r="B3779" s="26">
        <v>43634</v>
      </c>
      <c r="C3779" s="27">
        <v>0</v>
      </c>
      <c r="D3779" s="25" t="str">
        <f t="shared" ref="D3779:D3842" si="118">CONCATENATE(YEAR(B3779-WEEKDAY(B3779,3)+3),TEXT(WEEKNUM(B3779,21),"00"))</f>
        <v>201925</v>
      </c>
      <c r="E3779" s="22" t="str">
        <f t="shared" ref="E3779:E3842" ca="1" si="119">IF(
  AND(
    YEAR(B3779)=YEAR(TODAY())-1,
    MONTH(B3779)=MONTH(TODAY()),
    DAY(B3779)&gt;DAY($H$2)
  ),
  0,
  CONCATENATE(YEAR(B3779),TEXT(MONTH(B3779),"00"))
)</f>
        <v>201906</v>
      </c>
      <c r="F3779" s="22">
        <v>2019</v>
      </c>
    </row>
    <row r="3780" spans="1:6" ht="15.75">
      <c r="A3780" s="22" t="s">
        <v>1442</v>
      </c>
      <c r="B3780" s="23">
        <v>43635</v>
      </c>
      <c r="C3780" s="24">
        <v>20.73</v>
      </c>
      <c r="D3780" s="25" t="str">
        <f t="shared" si="118"/>
        <v>201925</v>
      </c>
      <c r="E3780" s="22" t="str">
        <f t="shared" ca="1" si="119"/>
        <v>201906</v>
      </c>
      <c r="F3780" s="22">
        <v>2019</v>
      </c>
    </row>
    <row r="3781" spans="1:6" ht="15.75">
      <c r="A3781" s="22" t="s">
        <v>1442</v>
      </c>
      <c r="B3781" s="23">
        <v>43635</v>
      </c>
      <c r="C3781" s="24">
        <v>0</v>
      </c>
      <c r="D3781" s="25" t="str">
        <f t="shared" si="118"/>
        <v>201925</v>
      </c>
      <c r="E3781" s="22" t="str">
        <f t="shared" ca="1" si="119"/>
        <v>201906</v>
      </c>
      <c r="F3781" s="22">
        <v>2019</v>
      </c>
    </row>
    <row r="3782" spans="1:6" ht="15.75">
      <c r="A3782" s="22" t="s">
        <v>1443</v>
      </c>
      <c r="B3782" s="20">
        <v>43635</v>
      </c>
      <c r="C3782" s="21">
        <v>103.50000333785999</v>
      </c>
      <c r="D3782" s="25" t="str">
        <f t="shared" si="118"/>
        <v>201925</v>
      </c>
      <c r="E3782" s="22" t="str">
        <f t="shared" ca="1" si="119"/>
        <v>201906</v>
      </c>
      <c r="F3782" s="22">
        <v>2019</v>
      </c>
    </row>
    <row r="3783" spans="1:6" ht="15.75">
      <c r="A3783" s="22" t="s">
        <v>1441</v>
      </c>
      <c r="B3783" s="26">
        <v>43635</v>
      </c>
      <c r="C3783" s="27">
        <v>0</v>
      </c>
      <c r="D3783" s="25" t="str">
        <f t="shared" si="118"/>
        <v>201925</v>
      </c>
      <c r="E3783" s="22" t="str">
        <f t="shared" ca="1" si="119"/>
        <v>201906</v>
      </c>
      <c r="F3783" s="22">
        <v>2019</v>
      </c>
    </row>
    <row r="3784" spans="1:6" ht="15.75">
      <c r="A3784" s="22" t="s">
        <v>1442</v>
      </c>
      <c r="B3784" s="23">
        <v>43636</v>
      </c>
      <c r="C3784" s="24">
        <v>17.88</v>
      </c>
      <c r="D3784" s="25" t="str">
        <f t="shared" si="118"/>
        <v>201925</v>
      </c>
      <c r="E3784" s="22" t="str">
        <f t="shared" ca="1" si="119"/>
        <v>201906</v>
      </c>
      <c r="F3784" s="22">
        <v>2019</v>
      </c>
    </row>
    <row r="3785" spans="1:6" ht="15.75">
      <c r="A3785" s="22" t="s">
        <v>1442</v>
      </c>
      <c r="B3785" s="23">
        <v>43636</v>
      </c>
      <c r="C3785" s="24">
        <v>0.55000000000000004</v>
      </c>
      <c r="D3785" s="25" t="str">
        <f t="shared" si="118"/>
        <v>201925</v>
      </c>
      <c r="E3785" s="22" t="str">
        <f t="shared" ca="1" si="119"/>
        <v>201906</v>
      </c>
      <c r="F3785" s="22">
        <v>2019</v>
      </c>
    </row>
    <row r="3786" spans="1:6" ht="15.75">
      <c r="A3786" s="22" t="s">
        <v>1443</v>
      </c>
      <c r="B3786" s="20">
        <v>43636</v>
      </c>
      <c r="C3786" s="21">
        <v>66.300001740455599</v>
      </c>
      <c r="D3786" s="25" t="str">
        <f t="shared" si="118"/>
        <v>201925</v>
      </c>
      <c r="E3786" s="22" t="str">
        <f t="shared" ca="1" si="119"/>
        <v>201906</v>
      </c>
      <c r="F3786" s="22">
        <v>2019</v>
      </c>
    </row>
    <row r="3787" spans="1:6" ht="15.75">
      <c r="A3787" s="22" t="s">
        <v>1441</v>
      </c>
      <c r="B3787" s="26">
        <v>43636</v>
      </c>
      <c r="C3787" s="27">
        <v>0</v>
      </c>
      <c r="D3787" s="25" t="str">
        <f t="shared" si="118"/>
        <v>201925</v>
      </c>
      <c r="E3787" s="22" t="str">
        <f t="shared" ca="1" si="119"/>
        <v>201906</v>
      </c>
      <c r="F3787" s="22">
        <v>2019</v>
      </c>
    </row>
    <row r="3788" spans="1:6" ht="15.75">
      <c r="A3788" s="22" t="s">
        <v>1442</v>
      </c>
      <c r="B3788" s="23">
        <v>43637</v>
      </c>
      <c r="C3788" s="24">
        <v>18.940000000000001</v>
      </c>
      <c r="D3788" s="25" t="str">
        <f t="shared" si="118"/>
        <v>201925</v>
      </c>
      <c r="E3788" s="22" t="str">
        <f t="shared" ca="1" si="119"/>
        <v>201906</v>
      </c>
      <c r="F3788" s="22">
        <v>2019</v>
      </c>
    </row>
    <row r="3789" spans="1:6" ht="15.75">
      <c r="A3789" s="22" t="s">
        <v>1442</v>
      </c>
      <c r="B3789" s="23">
        <v>43637</v>
      </c>
      <c r="C3789" s="24">
        <v>0.68</v>
      </c>
      <c r="D3789" s="25" t="str">
        <f t="shared" si="118"/>
        <v>201925</v>
      </c>
      <c r="E3789" s="22" t="str">
        <f t="shared" ca="1" si="119"/>
        <v>201906</v>
      </c>
      <c r="F3789" s="22">
        <v>2019</v>
      </c>
    </row>
    <row r="3790" spans="1:6" ht="15.75">
      <c r="A3790" s="22" t="s">
        <v>1443</v>
      </c>
      <c r="B3790" s="20">
        <v>43637</v>
      </c>
      <c r="C3790" s="21">
        <v>61.500002145767198</v>
      </c>
      <c r="D3790" s="25" t="str">
        <f t="shared" si="118"/>
        <v>201925</v>
      </c>
      <c r="E3790" s="22" t="str">
        <f t="shared" ca="1" si="119"/>
        <v>201906</v>
      </c>
      <c r="F3790" s="22">
        <v>2019</v>
      </c>
    </row>
    <row r="3791" spans="1:6" ht="15.75">
      <c r="A3791" s="22" t="s">
        <v>1441</v>
      </c>
      <c r="B3791" s="26">
        <v>43637</v>
      </c>
      <c r="C3791" s="27">
        <v>0</v>
      </c>
      <c r="D3791" s="25" t="str">
        <f t="shared" si="118"/>
        <v>201925</v>
      </c>
      <c r="E3791" s="22" t="str">
        <f t="shared" ca="1" si="119"/>
        <v>201906</v>
      </c>
      <c r="F3791" s="22">
        <v>2019</v>
      </c>
    </row>
    <row r="3792" spans="1:6" ht="15.75">
      <c r="A3792" s="22" t="s">
        <v>1442</v>
      </c>
      <c r="B3792" s="23">
        <v>43638</v>
      </c>
      <c r="C3792" s="24">
        <v>11.48</v>
      </c>
      <c r="D3792" s="25" t="str">
        <f t="shared" si="118"/>
        <v>201925</v>
      </c>
      <c r="E3792" s="22" t="str">
        <f t="shared" ca="1" si="119"/>
        <v>201906</v>
      </c>
      <c r="F3792" s="22">
        <v>2019</v>
      </c>
    </row>
    <row r="3793" spans="1:6" ht="15.75">
      <c r="A3793" s="22" t="s">
        <v>1442</v>
      </c>
      <c r="B3793" s="23">
        <v>43638</v>
      </c>
      <c r="C3793" s="24">
        <v>0.19</v>
      </c>
      <c r="D3793" s="25" t="str">
        <f t="shared" si="118"/>
        <v>201925</v>
      </c>
      <c r="E3793" s="22" t="str">
        <f t="shared" ca="1" si="119"/>
        <v>201906</v>
      </c>
      <c r="F3793" s="22">
        <v>2019</v>
      </c>
    </row>
    <row r="3794" spans="1:6" ht="15.75">
      <c r="A3794" s="22" t="s">
        <v>1443</v>
      </c>
      <c r="B3794" s="20">
        <v>43638</v>
      </c>
      <c r="C3794" s="21">
        <v>76.500004649162307</v>
      </c>
      <c r="D3794" s="25" t="str">
        <f t="shared" si="118"/>
        <v>201925</v>
      </c>
      <c r="E3794" s="22" t="str">
        <f t="shared" ca="1" si="119"/>
        <v>201906</v>
      </c>
      <c r="F3794" s="22">
        <v>2019</v>
      </c>
    </row>
    <row r="3795" spans="1:6" ht="15.75">
      <c r="A3795" s="22" t="s">
        <v>1441</v>
      </c>
      <c r="B3795" s="26">
        <v>43638</v>
      </c>
      <c r="C3795" s="27">
        <v>0</v>
      </c>
      <c r="D3795" s="25" t="str">
        <f t="shared" si="118"/>
        <v>201925</v>
      </c>
      <c r="E3795" s="22" t="str">
        <f t="shared" ca="1" si="119"/>
        <v>201906</v>
      </c>
      <c r="F3795" s="22">
        <v>2019</v>
      </c>
    </row>
    <row r="3796" spans="1:6" ht="15.75">
      <c r="A3796" s="22" t="s">
        <v>1442</v>
      </c>
      <c r="B3796" s="23">
        <v>43639</v>
      </c>
      <c r="C3796" s="24">
        <v>17.64</v>
      </c>
      <c r="D3796" s="25" t="str">
        <f t="shared" si="118"/>
        <v>201925</v>
      </c>
      <c r="E3796" s="22" t="str">
        <f t="shared" ca="1" si="119"/>
        <v>201906</v>
      </c>
      <c r="F3796" s="22">
        <v>2019</v>
      </c>
    </row>
    <row r="3797" spans="1:6" ht="15.75">
      <c r="A3797" s="22" t="s">
        <v>1442</v>
      </c>
      <c r="B3797" s="23">
        <v>43639</v>
      </c>
      <c r="C3797" s="24">
        <v>0.2</v>
      </c>
      <c r="D3797" s="25" t="str">
        <f t="shared" si="118"/>
        <v>201925</v>
      </c>
      <c r="E3797" s="22" t="str">
        <f t="shared" ca="1" si="119"/>
        <v>201906</v>
      </c>
      <c r="F3797" s="22">
        <v>2019</v>
      </c>
    </row>
    <row r="3798" spans="1:6" ht="15.75">
      <c r="A3798" s="22" t="s">
        <v>1443</v>
      </c>
      <c r="B3798" s="20">
        <v>43639</v>
      </c>
      <c r="C3798" s="21">
        <v>120.600006997585</v>
      </c>
      <c r="D3798" s="25" t="str">
        <f t="shared" si="118"/>
        <v>201925</v>
      </c>
      <c r="E3798" s="22" t="str">
        <f t="shared" ca="1" si="119"/>
        <v>201906</v>
      </c>
      <c r="F3798" s="22">
        <v>2019</v>
      </c>
    </row>
    <row r="3799" spans="1:6" ht="15.75">
      <c r="A3799" s="22" t="s">
        <v>1441</v>
      </c>
      <c r="B3799" s="26">
        <v>43639</v>
      </c>
      <c r="C3799" s="27">
        <v>0</v>
      </c>
      <c r="D3799" s="25" t="str">
        <f t="shared" si="118"/>
        <v>201925</v>
      </c>
      <c r="E3799" s="22" t="str">
        <f t="shared" ca="1" si="119"/>
        <v>201906</v>
      </c>
      <c r="F3799" s="22">
        <v>2019</v>
      </c>
    </row>
    <row r="3800" spans="1:6" ht="15.75">
      <c r="A3800" s="22" t="s">
        <v>1442</v>
      </c>
      <c r="B3800" s="23">
        <v>43640</v>
      </c>
      <c r="C3800" s="24">
        <v>7.85</v>
      </c>
      <c r="D3800" s="25" t="str">
        <f t="shared" si="118"/>
        <v>201926</v>
      </c>
      <c r="E3800" s="22" t="str">
        <f t="shared" ca="1" si="119"/>
        <v>201906</v>
      </c>
      <c r="F3800" s="22">
        <v>2019</v>
      </c>
    </row>
    <row r="3801" spans="1:6" ht="15.75">
      <c r="A3801" s="22" t="s">
        <v>1442</v>
      </c>
      <c r="B3801" s="23">
        <v>43640</v>
      </c>
      <c r="C3801" s="24">
        <v>0</v>
      </c>
      <c r="D3801" s="25" t="str">
        <f t="shared" si="118"/>
        <v>201926</v>
      </c>
      <c r="E3801" s="22" t="str">
        <f t="shared" ca="1" si="119"/>
        <v>201906</v>
      </c>
      <c r="F3801" s="22">
        <v>2019</v>
      </c>
    </row>
    <row r="3802" spans="1:6" ht="15.75">
      <c r="A3802" s="22" t="s">
        <v>1443</v>
      </c>
      <c r="B3802" s="20">
        <v>43640</v>
      </c>
      <c r="C3802" s="21">
        <v>160.800005435944</v>
      </c>
      <c r="D3802" s="25" t="str">
        <f t="shared" si="118"/>
        <v>201926</v>
      </c>
      <c r="E3802" s="22" t="str">
        <f t="shared" ca="1" si="119"/>
        <v>201906</v>
      </c>
      <c r="F3802" s="22">
        <v>2019</v>
      </c>
    </row>
    <row r="3803" spans="1:6" ht="15.75">
      <c r="A3803" s="22" t="s">
        <v>1441</v>
      </c>
      <c r="B3803" s="26">
        <v>43640</v>
      </c>
      <c r="C3803" s="27">
        <v>0</v>
      </c>
      <c r="D3803" s="25" t="str">
        <f t="shared" si="118"/>
        <v>201926</v>
      </c>
      <c r="E3803" s="22" t="str">
        <f t="shared" ca="1" si="119"/>
        <v>201906</v>
      </c>
      <c r="F3803" s="22">
        <v>2019</v>
      </c>
    </row>
    <row r="3804" spans="1:6" ht="15.75">
      <c r="A3804" s="22" t="s">
        <v>1442</v>
      </c>
      <c r="B3804" s="23">
        <v>43641</v>
      </c>
      <c r="C3804" s="24">
        <v>5.98</v>
      </c>
      <c r="D3804" s="25" t="str">
        <f t="shared" si="118"/>
        <v>201926</v>
      </c>
      <c r="E3804" s="22" t="str">
        <f t="shared" ca="1" si="119"/>
        <v>201906</v>
      </c>
      <c r="F3804" s="22">
        <v>2019</v>
      </c>
    </row>
    <row r="3805" spans="1:6" ht="15.75">
      <c r="A3805" s="22" t="s">
        <v>1442</v>
      </c>
      <c r="B3805" s="23">
        <v>43641</v>
      </c>
      <c r="C3805" s="24">
        <v>0</v>
      </c>
      <c r="D3805" s="25" t="str">
        <f t="shared" si="118"/>
        <v>201926</v>
      </c>
      <c r="E3805" s="22" t="str">
        <f t="shared" ca="1" si="119"/>
        <v>201906</v>
      </c>
      <c r="F3805" s="22">
        <v>2019</v>
      </c>
    </row>
    <row r="3806" spans="1:6" ht="15.75">
      <c r="A3806" s="22" t="s">
        <v>1443</v>
      </c>
      <c r="B3806" s="20">
        <v>43641</v>
      </c>
      <c r="C3806" s="21">
        <v>183.300008058548</v>
      </c>
      <c r="D3806" s="25" t="str">
        <f t="shared" si="118"/>
        <v>201926</v>
      </c>
      <c r="E3806" s="22" t="str">
        <f t="shared" ca="1" si="119"/>
        <v>201906</v>
      </c>
      <c r="F3806" s="22">
        <v>2019</v>
      </c>
    </row>
    <row r="3807" spans="1:6" ht="15.75">
      <c r="A3807" s="22" t="s">
        <v>1441</v>
      </c>
      <c r="B3807" s="26">
        <v>43641</v>
      </c>
      <c r="C3807" s="27">
        <v>0</v>
      </c>
      <c r="D3807" s="25" t="str">
        <f t="shared" si="118"/>
        <v>201926</v>
      </c>
      <c r="E3807" s="22" t="str">
        <f t="shared" ca="1" si="119"/>
        <v>201906</v>
      </c>
      <c r="F3807" s="22">
        <v>2019</v>
      </c>
    </row>
    <row r="3808" spans="1:6" ht="15.75">
      <c r="A3808" s="22" t="s">
        <v>1442</v>
      </c>
      <c r="B3808" s="23">
        <v>43642</v>
      </c>
      <c r="C3808" s="24">
        <v>5.58</v>
      </c>
      <c r="D3808" s="25" t="str">
        <f t="shared" si="118"/>
        <v>201926</v>
      </c>
      <c r="E3808" s="22" t="str">
        <f t="shared" ca="1" si="119"/>
        <v>201906</v>
      </c>
      <c r="F3808" s="22">
        <v>2019</v>
      </c>
    </row>
    <row r="3809" spans="1:6" ht="15.75">
      <c r="A3809" s="22" t="s">
        <v>1442</v>
      </c>
      <c r="B3809" s="23">
        <v>43642</v>
      </c>
      <c r="C3809" s="24">
        <v>0</v>
      </c>
      <c r="D3809" s="25" t="str">
        <f t="shared" si="118"/>
        <v>201926</v>
      </c>
      <c r="E3809" s="22" t="str">
        <f t="shared" ca="1" si="119"/>
        <v>201906</v>
      </c>
      <c r="F3809" s="22">
        <v>2019</v>
      </c>
    </row>
    <row r="3810" spans="1:6" ht="15.75">
      <c r="A3810" s="22" t="s">
        <v>1443</v>
      </c>
      <c r="B3810" s="20">
        <v>43642</v>
      </c>
      <c r="C3810" s="21">
        <v>69.900001943111405</v>
      </c>
      <c r="D3810" s="25" t="str">
        <f t="shared" si="118"/>
        <v>201926</v>
      </c>
      <c r="E3810" s="22" t="str">
        <f t="shared" ca="1" si="119"/>
        <v>201906</v>
      </c>
      <c r="F3810" s="22">
        <v>2019</v>
      </c>
    </row>
    <row r="3811" spans="1:6" ht="15.75">
      <c r="A3811" s="22" t="s">
        <v>1441</v>
      </c>
      <c r="B3811" s="26">
        <v>43642</v>
      </c>
      <c r="C3811" s="27">
        <v>0</v>
      </c>
      <c r="D3811" s="25" t="str">
        <f t="shared" si="118"/>
        <v>201926</v>
      </c>
      <c r="E3811" s="22" t="str">
        <f t="shared" ca="1" si="119"/>
        <v>201906</v>
      </c>
      <c r="F3811" s="22">
        <v>2019</v>
      </c>
    </row>
    <row r="3812" spans="1:6" ht="15.75">
      <c r="A3812" s="22" t="s">
        <v>1442</v>
      </c>
      <c r="B3812" s="23">
        <v>43643</v>
      </c>
      <c r="C3812" s="24">
        <v>7.29</v>
      </c>
      <c r="D3812" s="25" t="str">
        <f t="shared" si="118"/>
        <v>201926</v>
      </c>
      <c r="E3812" s="22" t="str">
        <f t="shared" ca="1" si="119"/>
        <v>201906</v>
      </c>
      <c r="F3812" s="22">
        <v>2019</v>
      </c>
    </row>
    <row r="3813" spans="1:6" ht="15.75">
      <c r="A3813" s="22" t="s">
        <v>1442</v>
      </c>
      <c r="B3813" s="23">
        <v>43643</v>
      </c>
      <c r="C3813" s="24">
        <v>0</v>
      </c>
      <c r="D3813" s="25" t="str">
        <f t="shared" si="118"/>
        <v>201926</v>
      </c>
      <c r="E3813" s="22" t="str">
        <f t="shared" ca="1" si="119"/>
        <v>201906</v>
      </c>
      <c r="F3813" s="22">
        <v>2019</v>
      </c>
    </row>
    <row r="3814" spans="1:6" ht="15.75">
      <c r="A3814" s="22" t="s">
        <v>1443</v>
      </c>
      <c r="B3814" s="20">
        <v>43643</v>
      </c>
      <c r="C3814" s="21">
        <v>0.30000001192092901</v>
      </c>
      <c r="D3814" s="25" t="str">
        <f t="shared" si="118"/>
        <v>201926</v>
      </c>
      <c r="E3814" s="22" t="str">
        <f t="shared" ca="1" si="119"/>
        <v>201906</v>
      </c>
      <c r="F3814" s="22">
        <v>2019</v>
      </c>
    </row>
    <row r="3815" spans="1:6" ht="15.75">
      <c r="A3815" s="22" t="s">
        <v>1441</v>
      </c>
      <c r="B3815" s="26">
        <v>43643</v>
      </c>
      <c r="C3815" s="27">
        <v>0</v>
      </c>
      <c r="D3815" s="25" t="str">
        <f t="shared" si="118"/>
        <v>201926</v>
      </c>
      <c r="E3815" s="22" t="str">
        <f t="shared" ca="1" si="119"/>
        <v>201906</v>
      </c>
      <c r="F3815" s="22">
        <v>2019</v>
      </c>
    </row>
    <row r="3816" spans="1:6" ht="15.75">
      <c r="A3816" s="22" t="s">
        <v>1442</v>
      </c>
      <c r="B3816" s="23">
        <v>43644</v>
      </c>
      <c r="C3816" s="24">
        <v>4.8499999999999996</v>
      </c>
      <c r="D3816" s="25" t="str">
        <f t="shared" si="118"/>
        <v>201926</v>
      </c>
      <c r="E3816" s="22" t="str">
        <f t="shared" ca="1" si="119"/>
        <v>201906</v>
      </c>
      <c r="F3816" s="22">
        <v>2019</v>
      </c>
    </row>
    <row r="3817" spans="1:6" ht="15.75">
      <c r="A3817" s="22" t="s">
        <v>1442</v>
      </c>
      <c r="B3817" s="23">
        <v>43644</v>
      </c>
      <c r="C3817" s="24">
        <v>0</v>
      </c>
      <c r="D3817" s="25" t="str">
        <f t="shared" si="118"/>
        <v>201926</v>
      </c>
      <c r="E3817" s="22" t="str">
        <f t="shared" ca="1" si="119"/>
        <v>201906</v>
      </c>
      <c r="F3817" s="22">
        <v>2019</v>
      </c>
    </row>
    <row r="3818" spans="1:6" ht="15.75">
      <c r="A3818" s="22" t="s">
        <v>1443</v>
      </c>
      <c r="B3818" s="20">
        <v>43644</v>
      </c>
      <c r="C3818" s="21">
        <v>0</v>
      </c>
      <c r="D3818" s="25" t="str">
        <f t="shared" si="118"/>
        <v>201926</v>
      </c>
      <c r="E3818" s="22" t="str">
        <f t="shared" ca="1" si="119"/>
        <v>201906</v>
      </c>
      <c r="F3818" s="22">
        <v>2019</v>
      </c>
    </row>
    <row r="3819" spans="1:6" ht="15.75">
      <c r="A3819" s="22" t="s">
        <v>1441</v>
      </c>
      <c r="B3819" s="26">
        <v>43644</v>
      </c>
      <c r="C3819" s="27">
        <v>0</v>
      </c>
      <c r="D3819" s="25" t="str">
        <f t="shared" si="118"/>
        <v>201926</v>
      </c>
      <c r="E3819" s="22" t="str">
        <f t="shared" ca="1" si="119"/>
        <v>201906</v>
      </c>
      <c r="F3819" s="22">
        <v>2019</v>
      </c>
    </row>
    <row r="3820" spans="1:6" ht="15.75">
      <c r="A3820" s="22" t="s">
        <v>1442</v>
      </c>
      <c r="B3820" s="23">
        <v>43645</v>
      </c>
      <c r="C3820" s="24">
        <v>3.36</v>
      </c>
      <c r="D3820" s="25" t="str">
        <f t="shared" si="118"/>
        <v>201926</v>
      </c>
      <c r="E3820" s="22" t="str">
        <f t="shared" ca="1" si="119"/>
        <v>201906</v>
      </c>
      <c r="F3820" s="22">
        <v>2019</v>
      </c>
    </row>
    <row r="3821" spans="1:6" ht="15.75">
      <c r="A3821" s="22" t="s">
        <v>1442</v>
      </c>
      <c r="B3821" s="23">
        <v>43645</v>
      </c>
      <c r="C3821" s="24">
        <v>0</v>
      </c>
      <c r="D3821" s="25" t="str">
        <f t="shared" si="118"/>
        <v>201926</v>
      </c>
      <c r="E3821" s="22" t="str">
        <f t="shared" ca="1" si="119"/>
        <v>201906</v>
      </c>
      <c r="F3821" s="22">
        <v>2019</v>
      </c>
    </row>
    <row r="3822" spans="1:6" ht="15.75">
      <c r="A3822" s="22" t="s">
        <v>1443</v>
      </c>
      <c r="B3822" s="20">
        <v>43645</v>
      </c>
      <c r="C3822" s="21">
        <v>0</v>
      </c>
      <c r="D3822" s="25" t="str">
        <f t="shared" si="118"/>
        <v>201926</v>
      </c>
      <c r="E3822" s="22" t="str">
        <f t="shared" ca="1" si="119"/>
        <v>201906</v>
      </c>
      <c r="F3822" s="22">
        <v>2019</v>
      </c>
    </row>
    <row r="3823" spans="1:6" ht="15.75">
      <c r="A3823" s="22" t="s">
        <v>1441</v>
      </c>
      <c r="B3823" s="26">
        <v>43645</v>
      </c>
      <c r="C3823" s="27">
        <v>0</v>
      </c>
      <c r="D3823" s="25" t="str">
        <f t="shared" si="118"/>
        <v>201926</v>
      </c>
      <c r="E3823" s="22" t="str">
        <f t="shared" ca="1" si="119"/>
        <v>201906</v>
      </c>
      <c r="F3823" s="22">
        <v>2019</v>
      </c>
    </row>
    <row r="3824" spans="1:6" ht="15.75">
      <c r="A3824" s="22" t="s">
        <v>1442</v>
      </c>
      <c r="B3824" s="23">
        <v>43646</v>
      </c>
      <c r="C3824" s="24">
        <v>2.71</v>
      </c>
      <c r="D3824" s="25" t="str">
        <f t="shared" si="118"/>
        <v>201926</v>
      </c>
      <c r="E3824" s="22" t="str">
        <f t="shared" ca="1" si="119"/>
        <v>201906</v>
      </c>
      <c r="F3824" s="22">
        <v>2019</v>
      </c>
    </row>
    <row r="3825" spans="1:6" ht="15.75">
      <c r="A3825" s="22" t="s">
        <v>1442</v>
      </c>
      <c r="B3825" s="23">
        <v>43646</v>
      </c>
      <c r="C3825" s="24">
        <v>0</v>
      </c>
      <c r="D3825" s="25" t="str">
        <f t="shared" si="118"/>
        <v>201926</v>
      </c>
      <c r="E3825" s="22" t="str">
        <f t="shared" ca="1" si="119"/>
        <v>201906</v>
      </c>
      <c r="F3825" s="22">
        <v>2019</v>
      </c>
    </row>
    <row r="3826" spans="1:6" ht="15.75">
      <c r="A3826" s="22" t="s">
        <v>1443</v>
      </c>
      <c r="B3826" s="20">
        <v>43646</v>
      </c>
      <c r="C3826" s="21">
        <v>0</v>
      </c>
      <c r="D3826" s="25" t="str">
        <f t="shared" si="118"/>
        <v>201926</v>
      </c>
      <c r="E3826" s="22" t="str">
        <f t="shared" ca="1" si="119"/>
        <v>201906</v>
      </c>
      <c r="F3826" s="22">
        <v>2019</v>
      </c>
    </row>
    <row r="3827" spans="1:6" ht="15.75">
      <c r="A3827" s="22" t="s">
        <v>1441</v>
      </c>
      <c r="B3827" s="26">
        <v>43646</v>
      </c>
      <c r="C3827" s="27">
        <v>0</v>
      </c>
      <c r="D3827" s="25" t="str">
        <f t="shared" si="118"/>
        <v>201926</v>
      </c>
      <c r="E3827" s="22" t="str">
        <f t="shared" ca="1" si="119"/>
        <v>201906</v>
      </c>
      <c r="F3827" s="22">
        <v>2019</v>
      </c>
    </row>
    <row r="3828" spans="1:6" ht="15.75">
      <c r="A3828" s="22" t="s">
        <v>1442</v>
      </c>
      <c r="B3828" s="23">
        <v>43647</v>
      </c>
      <c r="C3828" s="24">
        <v>7.44</v>
      </c>
      <c r="D3828" s="25" t="str">
        <f t="shared" si="118"/>
        <v>201927</v>
      </c>
      <c r="E3828" s="22" t="str">
        <f t="shared" ca="1" si="119"/>
        <v>201907</v>
      </c>
      <c r="F3828" s="22">
        <v>2019</v>
      </c>
    </row>
    <row r="3829" spans="1:6" ht="15.75">
      <c r="A3829" s="22" t="s">
        <v>1442</v>
      </c>
      <c r="B3829" s="23">
        <v>43647</v>
      </c>
      <c r="C3829" s="24">
        <v>0</v>
      </c>
      <c r="D3829" s="25" t="str">
        <f t="shared" si="118"/>
        <v>201927</v>
      </c>
      <c r="E3829" s="22" t="str">
        <f t="shared" ca="1" si="119"/>
        <v>201907</v>
      </c>
      <c r="F3829" s="22">
        <v>2019</v>
      </c>
    </row>
    <row r="3830" spans="1:6" ht="15.75">
      <c r="A3830" s="22" t="s">
        <v>1443</v>
      </c>
      <c r="B3830" s="20">
        <v>43647</v>
      </c>
      <c r="C3830" s="21">
        <v>0</v>
      </c>
      <c r="D3830" s="25" t="str">
        <f t="shared" si="118"/>
        <v>201927</v>
      </c>
      <c r="E3830" s="22" t="str">
        <f t="shared" ca="1" si="119"/>
        <v>201907</v>
      </c>
      <c r="F3830" s="22">
        <v>2019</v>
      </c>
    </row>
    <row r="3831" spans="1:6" ht="15.75">
      <c r="A3831" s="22" t="s">
        <v>1441</v>
      </c>
      <c r="B3831" s="26">
        <v>43647</v>
      </c>
      <c r="C3831" s="27">
        <v>0</v>
      </c>
      <c r="D3831" s="25" t="str">
        <f t="shared" si="118"/>
        <v>201927</v>
      </c>
      <c r="E3831" s="22" t="str">
        <f t="shared" ca="1" si="119"/>
        <v>201907</v>
      </c>
      <c r="F3831" s="22">
        <v>2019</v>
      </c>
    </row>
    <row r="3832" spans="1:6" ht="15.75">
      <c r="A3832" s="22" t="s">
        <v>1442</v>
      </c>
      <c r="B3832" s="23">
        <v>43648</v>
      </c>
      <c r="C3832" s="24">
        <v>5.88</v>
      </c>
      <c r="D3832" s="25" t="str">
        <f t="shared" si="118"/>
        <v>201927</v>
      </c>
      <c r="E3832" s="22" t="str">
        <f t="shared" ca="1" si="119"/>
        <v>201907</v>
      </c>
      <c r="F3832" s="22">
        <v>2019</v>
      </c>
    </row>
    <row r="3833" spans="1:6" ht="15.75">
      <c r="A3833" s="22" t="s">
        <v>1442</v>
      </c>
      <c r="B3833" s="23">
        <v>43648</v>
      </c>
      <c r="C3833" s="24">
        <v>0</v>
      </c>
      <c r="D3833" s="25" t="str">
        <f t="shared" si="118"/>
        <v>201927</v>
      </c>
      <c r="E3833" s="22" t="str">
        <f t="shared" ca="1" si="119"/>
        <v>201907</v>
      </c>
      <c r="F3833" s="22">
        <v>2019</v>
      </c>
    </row>
    <row r="3834" spans="1:6" ht="15.75">
      <c r="A3834" s="22" t="s">
        <v>1443</v>
      </c>
      <c r="B3834" s="20">
        <v>43648</v>
      </c>
      <c r="C3834" s="21">
        <v>0</v>
      </c>
      <c r="D3834" s="25" t="str">
        <f t="shared" si="118"/>
        <v>201927</v>
      </c>
      <c r="E3834" s="22" t="str">
        <f t="shared" ca="1" si="119"/>
        <v>201907</v>
      </c>
      <c r="F3834" s="22">
        <v>2019</v>
      </c>
    </row>
    <row r="3835" spans="1:6" ht="15.75">
      <c r="A3835" s="22" t="s">
        <v>1441</v>
      </c>
      <c r="B3835" s="26">
        <v>43648</v>
      </c>
      <c r="C3835" s="27">
        <v>0</v>
      </c>
      <c r="D3835" s="25" t="str">
        <f t="shared" si="118"/>
        <v>201927</v>
      </c>
      <c r="E3835" s="22" t="str">
        <f t="shared" ca="1" si="119"/>
        <v>201907</v>
      </c>
      <c r="F3835" s="22">
        <v>2019</v>
      </c>
    </row>
    <row r="3836" spans="1:6" ht="15.75">
      <c r="A3836" s="22" t="s">
        <v>1442</v>
      </c>
      <c r="B3836" s="23">
        <v>43649</v>
      </c>
      <c r="C3836" s="24">
        <v>6.14</v>
      </c>
      <c r="D3836" s="25" t="str">
        <f t="shared" si="118"/>
        <v>201927</v>
      </c>
      <c r="E3836" s="22" t="str">
        <f t="shared" ca="1" si="119"/>
        <v>201907</v>
      </c>
      <c r="F3836" s="22">
        <v>2019</v>
      </c>
    </row>
    <row r="3837" spans="1:6" ht="15.75">
      <c r="A3837" s="22" t="s">
        <v>1442</v>
      </c>
      <c r="B3837" s="23">
        <v>43649</v>
      </c>
      <c r="C3837" s="24">
        <v>0</v>
      </c>
      <c r="D3837" s="25" t="str">
        <f t="shared" si="118"/>
        <v>201927</v>
      </c>
      <c r="E3837" s="22" t="str">
        <f t="shared" ca="1" si="119"/>
        <v>201907</v>
      </c>
      <c r="F3837" s="22">
        <v>2019</v>
      </c>
    </row>
    <row r="3838" spans="1:6" ht="15.75">
      <c r="A3838" s="22" t="s">
        <v>1443</v>
      </c>
      <c r="B3838" s="20">
        <v>43649</v>
      </c>
      <c r="C3838" s="21">
        <v>271.20001375675201</v>
      </c>
      <c r="D3838" s="25" t="str">
        <f t="shared" si="118"/>
        <v>201927</v>
      </c>
      <c r="E3838" s="22" t="str">
        <f t="shared" ca="1" si="119"/>
        <v>201907</v>
      </c>
      <c r="F3838" s="22">
        <v>2019</v>
      </c>
    </row>
    <row r="3839" spans="1:6" ht="15.75">
      <c r="A3839" s="22" t="s">
        <v>1441</v>
      </c>
      <c r="B3839" s="26">
        <v>43649</v>
      </c>
      <c r="C3839" s="27">
        <v>0</v>
      </c>
      <c r="D3839" s="25" t="str">
        <f t="shared" si="118"/>
        <v>201927</v>
      </c>
      <c r="E3839" s="22" t="str">
        <f t="shared" ca="1" si="119"/>
        <v>201907</v>
      </c>
      <c r="F3839" s="22">
        <v>2019</v>
      </c>
    </row>
    <row r="3840" spans="1:6" ht="15.75">
      <c r="A3840" s="22" t="s">
        <v>1442</v>
      </c>
      <c r="B3840" s="23">
        <v>43650</v>
      </c>
      <c r="C3840" s="24">
        <v>2.99</v>
      </c>
      <c r="D3840" s="25" t="str">
        <f t="shared" si="118"/>
        <v>201927</v>
      </c>
      <c r="E3840" s="22" t="str">
        <f t="shared" ca="1" si="119"/>
        <v>201907</v>
      </c>
      <c r="F3840" s="22">
        <v>2019</v>
      </c>
    </row>
    <row r="3841" spans="1:6" ht="15.75">
      <c r="A3841" s="22" t="s">
        <v>1442</v>
      </c>
      <c r="B3841" s="23">
        <v>43650</v>
      </c>
      <c r="C3841" s="24">
        <v>0</v>
      </c>
      <c r="D3841" s="25" t="str">
        <f t="shared" si="118"/>
        <v>201927</v>
      </c>
      <c r="E3841" s="22" t="str">
        <f t="shared" ca="1" si="119"/>
        <v>201907</v>
      </c>
      <c r="F3841" s="22">
        <v>2019</v>
      </c>
    </row>
    <row r="3842" spans="1:6" ht="15.75">
      <c r="A3842" s="22" t="s">
        <v>1443</v>
      </c>
      <c r="B3842" s="20">
        <v>43650</v>
      </c>
      <c r="C3842" s="21">
        <v>34.500001370906801</v>
      </c>
      <c r="D3842" s="25" t="str">
        <f t="shared" si="118"/>
        <v>201927</v>
      </c>
      <c r="E3842" s="22" t="str">
        <f t="shared" ca="1" si="119"/>
        <v>201907</v>
      </c>
      <c r="F3842" s="22">
        <v>2019</v>
      </c>
    </row>
    <row r="3843" spans="1:6" ht="15.75">
      <c r="A3843" s="22" t="s">
        <v>1441</v>
      </c>
      <c r="B3843" s="26">
        <v>43650</v>
      </c>
      <c r="C3843" s="27">
        <v>0</v>
      </c>
      <c r="D3843" s="25" t="str">
        <f t="shared" ref="D3843:D3906" si="120">CONCATENATE(YEAR(B3843-WEEKDAY(B3843,3)+3),TEXT(WEEKNUM(B3843,21),"00"))</f>
        <v>201927</v>
      </c>
      <c r="E3843" s="22" t="str">
        <f t="shared" ref="E3843:E3906" ca="1" si="121">IF(
  AND(
    YEAR(B3843)=YEAR(TODAY())-1,
    MONTH(B3843)=MONTH(TODAY()),
    DAY(B3843)&gt;DAY($H$2)
  ),
  0,
  CONCATENATE(YEAR(B3843),TEXT(MONTH(B3843),"00"))
)</f>
        <v>201907</v>
      </c>
      <c r="F3843" s="22">
        <v>2019</v>
      </c>
    </row>
    <row r="3844" spans="1:6" ht="15.75">
      <c r="A3844" s="22" t="s">
        <v>1442</v>
      </c>
      <c r="B3844" s="23">
        <v>43651</v>
      </c>
      <c r="C3844" s="24">
        <v>2.74</v>
      </c>
      <c r="D3844" s="25" t="str">
        <f t="shared" si="120"/>
        <v>201927</v>
      </c>
      <c r="E3844" s="22" t="str">
        <f t="shared" ca="1" si="121"/>
        <v>201907</v>
      </c>
      <c r="F3844" s="22">
        <v>2019</v>
      </c>
    </row>
    <row r="3845" spans="1:6" ht="15.75">
      <c r="A3845" s="22" t="s">
        <v>1442</v>
      </c>
      <c r="B3845" s="23">
        <v>43651</v>
      </c>
      <c r="C3845" s="24">
        <v>0</v>
      </c>
      <c r="D3845" s="25" t="str">
        <f t="shared" si="120"/>
        <v>201927</v>
      </c>
      <c r="E3845" s="22" t="str">
        <f t="shared" ca="1" si="121"/>
        <v>201907</v>
      </c>
      <c r="F3845" s="22">
        <v>2019</v>
      </c>
    </row>
    <row r="3846" spans="1:6" ht="15.75">
      <c r="A3846" s="22" t="s">
        <v>1443</v>
      </c>
      <c r="B3846" s="20">
        <v>43651</v>
      </c>
      <c r="C3846" s="21">
        <v>0</v>
      </c>
      <c r="D3846" s="25" t="str">
        <f t="shared" si="120"/>
        <v>201927</v>
      </c>
      <c r="E3846" s="22" t="str">
        <f t="shared" ca="1" si="121"/>
        <v>201907</v>
      </c>
      <c r="F3846" s="22">
        <v>2019</v>
      </c>
    </row>
    <row r="3847" spans="1:6" ht="15.75">
      <c r="A3847" s="22" t="s">
        <v>1441</v>
      </c>
      <c r="B3847" s="26">
        <v>43651</v>
      </c>
      <c r="C3847" s="27">
        <v>0</v>
      </c>
      <c r="D3847" s="25" t="str">
        <f t="shared" si="120"/>
        <v>201927</v>
      </c>
      <c r="E3847" s="22" t="str">
        <f t="shared" ca="1" si="121"/>
        <v>201907</v>
      </c>
      <c r="F3847" s="22">
        <v>2019</v>
      </c>
    </row>
    <row r="3848" spans="1:6" ht="15.75">
      <c r="A3848" s="22" t="s">
        <v>1442</v>
      </c>
      <c r="B3848" s="23">
        <v>43652</v>
      </c>
      <c r="C3848" s="24">
        <v>4.05</v>
      </c>
      <c r="D3848" s="25" t="str">
        <f t="shared" si="120"/>
        <v>201927</v>
      </c>
      <c r="E3848" s="22" t="str">
        <f t="shared" ca="1" si="121"/>
        <v>201907</v>
      </c>
      <c r="F3848" s="22">
        <v>2019</v>
      </c>
    </row>
    <row r="3849" spans="1:6" ht="15.75">
      <c r="A3849" s="22" t="s">
        <v>1443</v>
      </c>
      <c r="B3849" s="20">
        <v>43652</v>
      </c>
      <c r="C3849" s="21">
        <v>0</v>
      </c>
      <c r="D3849" s="25" t="str">
        <f t="shared" si="120"/>
        <v>201927</v>
      </c>
      <c r="E3849" s="22" t="str">
        <f t="shared" ca="1" si="121"/>
        <v>201907</v>
      </c>
      <c r="F3849" s="22">
        <v>2019</v>
      </c>
    </row>
    <row r="3850" spans="1:6" ht="15.75">
      <c r="A3850" s="22" t="s">
        <v>1441</v>
      </c>
      <c r="B3850" s="26">
        <v>43652</v>
      </c>
      <c r="C3850" s="27">
        <v>0</v>
      </c>
      <c r="D3850" s="25" t="str">
        <f t="shared" si="120"/>
        <v>201927</v>
      </c>
      <c r="E3850" s="22" t="str">
        <f t="shared" ca="1" si="121"/>
        <v>201907</v>
      </c>
      <c r="F3850" s="22">
        <v>2019</v>
      </c>
    </row>
    <row r="3851" spans="1:6" ht="15.75">
      <c r="A3851" s="22" t="s">
        <v>1442</v>
      </c>
      <c r="B3851" s="23">
        <v>43653</v>
      </c>
      <c r="C3851" s="24">
        <v>3.91</v>
      </c>
      <c r="D3851" s="25" t="str">
        <f t="shared" si="120"/>
        <v>201927</v>
      </c>
      <c r="E3851" s="22" t="str">
        <f t="shared" ca="1" si="121"/>
        <v>201907</v>
      </c>
      <c r="F3851" s="22">
        <v>2019</v>
      </c>
    </row>
    <row r="3852" spans="1:6" ht="15.75">
      <c r="A3852" s="22" t="s">
        <v>1442</v>
      </c>
      <c r="B3852" s="23">
        <v>43653</v>
      </c>
      <c r="C3852" s="24">
        <v>0</v>
      </c>
      <c r="D3852" s="25" t="str">
        <f t="shared" si="120"/>
        <v>201927</v>
      </c>
      <c r="E3852" s="22" t="str">
        <f t="shared" ca="1" si="121"/>
        <v>201907</v>
      </c>
      <c r="F3852" s="22">
        <v>2019</v>
      </c>
    </row>
    <row r="3853" spans="1:6" ht="15.75">
      <c r="A3853" s="22" t="s">
        <v>1443</v>
      </c>
      <c r="B3853" s="20">
        <v>43653</v>
      </c>
      <c r="C3853" s="21">
        <v>0</v>
      </c>
      <c r="D3853" s="25" t="str">
        <f t="shared" si="120"/>
        <v>201927</v>
      </c>
      <c r="E3853" s="22" t="str">
        <f t="shared" ca="1" si="121"/>
        <v>201907</v>
      </c>
      <c r="F3853" s="22">
        <v>2019</v>
      </c>
    </row>
    <row r="3854" spans="1:6" ht="15.75">
      <c r="A3854" s="22" t="s">
        <v>1441</v>
      </c>
      <c r="B3854" s="26">
        <v>43653</v>
      </c>
      <c r="C3854" s="27">
        <v>0</v>
      </c>
      <c r="D3854" s="25" t="str">
        <f t="shared" si="120"/>
        <v>201927</v>
      </c>
      <c r="E3854" s="22" t="str">
        <f t="shared" ca="1" si="121"/>
        <v>201907</v>
      </c>
      <c r="F3854" s="22">
        <v>2019</v>
      </c>
    </row>
    <row r="3855" spans="1:6" ht="15.75">
      <c r="A3855" s="22" t="s">
        <v>1442</v>
      </c>
      <c r="B3855" s="23">
        <v>43654</v>
      </c>
      <c r="C3855" s="24">
        <v>6.18</v>
      </c>
      <c r="D3855" s="25" t="str">
        <f t="shared" si="120"/>
        <v>201928</v>
      </c>
      <c r="E3855" s="22" t="str">
        <f t="shared" ca="1" si="121"/>
        <v>201907</v>
      </c>
      <c r="F3855" s="22">
        <v>2019</v>
      </c>
    </row>
    <row r="3856" spans="1:6" ht="15.75">
      <c r="A3856" s="22" t="s">
        <v>1442</v>
      </c>
      <c r="B3856" s="23">
        <v>43654</v>
      </c>
      <c r="C3856" s="24">
        <v>0</v>
      </c>
      <c r="D3856" s="25" t="str">
        <f t="shared" si="120"/>
        <v>201928</v>
      </c>
      <c r="E3856" s="22" t="str">
        <f t="shared" ca="1" si="121"/>
        <v>201907</v>
      </c>
      <c r="F3856" s="22">
        <v>2019</v>
      </c>
    </row>
    <row r="3857" spans="1:6" ht="15.75">
      <c r="A3857" s="22" t="s">
        <v>1443</v>
      </c>
      <c r="B3857" s="20">
        <v>43654</v>
      </c>
      <c r="C3857" s="21">
        <v>0</v>
      </c>
      <c r="D3857" s="25" t="str">
        <f t="shared" si="120"/>
        <v>201928</v>
      </c>
      <c r="E3857" s="22" t="str">
        <f t="shared" ca="1" si="121"/>
        <v>201907</v>
      </c>
      <c r="F3857" s="22">
        <v>2019</v>
      </c>
    </row>
    <row r="3858" spans="1:6" ht="15.75">
      <c r="A3858" s="22" t="s">
        <v>1441</v>
      </c>
      <c r="B3858" s="26">
        <v>43654</v>
      </c>
      <c r="C3858" s="27">
        <v>0</v>
      </c>
      <c r="D3858" s="25" t="str">
        <f t="shared" si="120"/>
        <v>201928</v>
      </c>
      <c r="E3858" s="22" t="str">
        <f t="shared" ca="1" si="121"/>
        <v>201907</v>
      </c>
      <c r="F3858" s="22">
        <v>2019</v>
      </c>
    </row>
    <row r="3859" spans="1:6" ht="15.75">
      <c r="A3859" s="22" t="s">
        <v>1442</v>
      </c>
      <c r="B3859" s="23">
        <v>43655</v>
      </c>
      <c r="C3859" s="24">
        <v>4.68</v>
      </c>
      <c r="D3859" s="25" t="str">
        <f t="shared" si="120"/>
        <v>201928</v>
      </c>
      <c r="E3859" s="22" t="str">
        <f t="shared" ca="1" si="121"/>
        <v>201907</v>
      </c>
      <c r="F3859" s="22">
        <v>2019</v>
      </c>
    </row>
    <row r="3860" spans="1:6" ht="15.75">
      <c r="A3860" s="22" t="s">
        <v>1442</v>
      </c>
      <c r="B3860" s="23">
        <v>43655</v>
      </c>
      <c r="C3860" s="24">
        <v>0</v>
      </c>
      <c r="D3860" s="25" t="str">
        <f t="shared" si="120"/>
        <v>201928</v>
      </c>
      <c r="E3860" s="22" t="str">
        <f t="shared" ca="1" si="121"/>
        <v>201907</v>
      </c>
      <c r="F3860" s="22">
        <v>2019</v>
      </c>
    </row>
    <row r="3861" spans="1:6" ht="15.75">
      <c r="A3861" s="22" t="s">
        <v>1443</v>
      </c>
      <c r="B3861" s="20">
        <v>43655</v>
      </c>
      <c r="C3861" s="21">
        <v>0.30000001192092901</v>
      </c>
      <c r="D3861" s="25" t="str">
        <f t="shared" si="120"/>
        <v>201928</v>
      </c>
      <c r="E3861" s="22" t="str">
        <f t="shared" ca="1" si="121"/>
        <v>201907</v>
      </c>
      <c r="F3861" s="22">
        <v>2019</v>
      </c>
    </row>
    <row r="3862" spans="1:6" ht="15.75">
      <c r="A3862" s="22" t="s">
        <v>1441</v>
      </c>
      <c r="B3862" s="26">
        <v>43655</v>
      </c>
      <c r="C3862" s="27">
        <v>0</v>
      </c>
      <c r="D3862" s="25" t="str">
        <f t="shared" si="120"/>
        <v>201928</v>
      </c>
      <c r="E3862" s="22" t="str">
        <f t="shared" ca="1" si="121"/>
        <v>201907</v>
      </c>
      <c r="F3862" s="22">
        <v>2019</v>
      </c>
    </row>
    <row r="3863" spans="1:6" ht="15.75">
      <c r="A3863" s="22" t="s">
        <v>1442</v>
      </c>
      <c r="B3863" s="23">
        <v>43656</v>
      </c>
      <c r="C3863" s="24">
        <v>4.41</v>
      </c>
      <c r="D3863" s="25" t="str">
        <f t="shared" si="120"/>
        <v>201928</v>
      </c>
      <c r="E3863" s="22" t="str">
        <f t="shared" ca="1" si="121"/>
        <v>201907</v>
      </c>
      <c r="F3863" s="22">
        <v>2019</v>
      </c>
    </row>
    <row r="3864" spans="1:6" ht="15.75">
      <c r="A3864" s="22" t="s">
        <v>1442</v>
      </c>
      <c r="B3864" s="23">
        <v>43656</v>
      </c>
      <c r="C3864" s="24">
        <v>0</v>
      </c>
      <c r="D3864" s="25" t="str">
        <f t="shared" si="120"/>
        <v>201928</v>
      </c>
      <c r="E3864" s="22" t="str">
        <f t="shared" ca="1" si="121"/>
        <v>201907</v>
      </c>
      <c r="F3864" s="22">
        <v>2019</v>
      </c>
    </row>
    <row r="3865" spans="1:6" ht="15.75">
      <c r="A3865" s="22" t="s">
        <v>1443</v>
      </c>
      <c r="B3865" s="20">
        <v>43656</v>
      </c>
      <c r="C3865" s="21">
        <v>165.78000572323799</v>
      </c>
      <c r="D3865" s="25" t="str">
        <f t="shared" si="120"/>
        <v>201928</v>
      </c>
      <c r="E3865" s="22" t="str">
        <f t="shared" ca="1" si="121"/>
        <v>201907</v>
      </c>
      <c r="F3865" s="22">
        <v>2019</v>
      </c>
    </row>
    <row r="3866" spans="1:6" ht="15.75">
      <c r="A3866" s="22" t="s">
        <v>1441</v>
      </c>
      <c r="B3866" s="26">
        <v>43656</v>
      </c>
      <c r="C3866" s="27">
        <v>34.69</v>
      </c>
      <c r="D3866" s="25" t="str">
        <f t="shared" si="120"/>
        <v>201928</v>
      </c>
      <c r="E3866" s="22" t="str">
        <f t="shared" ca="1" si="121"/>
        <v>201907</v>
      </c>
      <c r="F3866" s="22">
        <v>2019</v>
      </c>
    </row>
    <row r="3867" spans="1:6" ht="15.75">
      <c r="A3867" s="22" t="s">
        <v>1442</v>
      </c>
      <c r="B3867" s="23">
        <v>43657</v>
      </c>
      <c r="C3867" s="24">
        <v>5.31</v>
      </c>
      <c r="D3867" s="25" t="str">
        <f t="shared" si="120"/>
        <v>201928</v>
      </c>
      <c r="E3867" s="22" t="str">
        <f t="shared" ca="1" si="121"/>
        <v>201907</v>
      </c>
      <c r="F3867" s="22">
        <v>2019</v>
      </c>
    </row>
    <row r="3868" spans="1:6" ht="15.75">
      <c r="A3868" s="22" t="s">
        <v>1442</v>
      </c>
      <c r="B3868" s="23">
        <v>43657</v>
      </c>
      <c r="C3868" s="24">
        <v>0</v>
      </c>
      <c r="D3868" s="25" t="str">
        <f t="shared" si="120"/>
        <v>201928</v>
      </c>
      <c r="E3868" s="22" t="str">
        <f t="shared" ca="1" si="121"/>
        <v>201907</v>
      </c>
      <c r="F3868" s="22">
        <v>2019</v>
      </c>
    </row>
    <row r="3869" spans="1:6" ht="15.75">
      <c r="A3869" s="22" t="s">
        <v>1443</v>
      </c>
      <c r="B3869" s="20">
        <v>43657</v>
      </c>
      <c r="C3869" s="21">
        <v>182.52000594139099</v>
      </c>
      <c r="D3869" s="25" t="str">
        <f t="shared" si="120"/>
        <v>201928</v>
      </c>
      <c r="E3869" s="22" t="str">
        <f t="shared" ca="1" si="121"/>
        <v>201907</v>
      </c>
      <c r="F3869" s="22">
        <v>2019</v>
      </c>
    </row>
    <row r="3870" spans="1:6" ht="15.75">
      <c r="A3870" s="22" t="s">
        <v>1441</v>
      </c>
      <c r="B3870" s="26">
        <v>43657</v>
      </c>
      <c r="C3870" s="27">
        <v>42.88</v>
      </c>
      <c r="D3870" s="25" t="str">
        <f t="shared" si="120"/>
        <v>201928</v>
      </c>
      <c r="E3870" s="22" t="str">
        <f t="shared" ca="1" si="121"/>
        <v>201907</v>
      </c>
      <c r="F3870" s="22">
        <v>2019</v>
      </c>
    </row>
    <row r="3871" spans="1:6" ht="15.75">
      <c r="A3871" s="22" t="s">
        <v>1442</v>
      </c>
      <c r="B3871" s="23">
        <v>43658</v>
      </c>
      <c r="C3871" s="24">
        <v>6.04</v>
      </c>
      <c r="D3871" s="25" t="str">
        <f t="shared" si="120"/>
        <v>201928</v>
      </c>
      <c r="E3871" s="22" t="str">
        <f t="shared" ca="1" si="121"/>
        <v>201907</v>
      </c>
      <c r="F3871" s="22">
        <v>2019</v>
      </c>
    </row>
    <row r="3872" spans="1:6" ht="15.75">
      <c r="A3872" s="22" t="s">
        <v>1442</v>
      </c>
      <c r="B3872" s="23">
        <v>43658</v>
      </c>
      <c r="C3872" s="24">
        <v>0</v>
      </c>
      <c r="D3872" s="25" t="str">
        <f t="shared" si="120"/>
        <v>201928</v>
      </c>
      <c r="E3872" s="22" t="str">
        <f t="shared" ca="1" si="121"/>
        <v>201907</v>
      </c>
      <c r="F3872" s="22">
        <v>2019</v>
      </c>
    </row>
    <row r="3873" spans="1:6" ht="15.75">
      <c r="A3873" s="22" t="s">
        <v>1443</v>
      </c>
      <c r="B3873" s="20">
        <v>43658</v>
      </c>
      <c r="C3873" s="21">
        <v>228.72999942302701</v>
      </c>
      <c r="D3873" s="25" t="str">
        <f t="shared" si="120"/>
        <v>201928</v>
      </c>
      <c r="E3873" s="22" t="str">
        <f t="shared" ca="1" si="121"/>
        <v>201907</v>
      </c>
      <c r="F3873" s="22">
        <v>2019</v>
      </c>
    </row>
    <row r="3874" spans="1:6" ht="15.75">
      <c r="A3874" s="22" t="s">
        <v>1441</v>
      </c>
      <c r="B3874" s="26">
        <v>43658</v>
      </c>
      <c r="C3874" s="27">
        <v>41.92</v>
      </c>
      <c r="D3874" s="25" t="str">
        <f t="shared" si="120"/>
        <v>201928</v>
      </c>
      <c r="E3874" s="22" t="str">
        <f t="shared" ca="1" si="121"/>
        <v>201907</v>
      </c>
      <c r="F3874" s="22">
        <v>2019</v>
      </c>
    </row>
    <row r="3875" spans="1:6" ht="15.75">
      <c r="A3875" s="22" t="s">
        <v>1442</v>
      </c>
      <c r="B3875" s="23">
        <v>43659</v>
      </c>
      <c r="C3875" s="24">
        <v>3.1</v>
      </c>
      <c r="D3875" s="25" t="str">
        <f t="shared" si="120"/>
        <v>201928</v>
      </c>
      <c r="E3875" s="22" t="str">
        <f t="shared" ca="1" si="121"/>
        <v>201907</v>
      </c>
      <c r="F3875" s="22">
        <v>2019</v>
      </c>
    </row>
    <row r="3876" spans="1:6" ht="15.75">
      <c r="A3876" s="22" t="s">
        <v>1442</v>
      </c>
      <c r="B3876" s="23">
        <v>43659</v>
      </c>
      <c r="C3876" s="24">
        <v>0</v>
      </c>
      <c r="D3876" s="25" t="str">
        <f t="shared" si="120"/>
        <v>201928</v>
      </c>
      <c r="E3876" s="22" t="str">
        <f t="shared" ca="1" si="121"/>
        <v>201907</v>
      </c>
      <c r="F3876" s="22">
        <v>2019</v>
      </c>
    </row>
    <row r="3877" spans="1:6" ht="15.75">
      <c r="A3877" s="22" t="s">
        <v>1443</v>
      </c>
      <c r="B3877" s="20">
        <v>43659</v>
      </c>
      <c r="C3877" s="21">
        <v>240.79999002814299</v>
      </c>
      <c r="D3877" s="25" t="str">
        <f t="shared" si="120"/>
        <v>201928</v>
      </c>
      <c r="E3877" s="22" t="str">
        <f t="shared" ca="1" si="121"/>
        <v>201907</v>
      </c>
      <c r="F3877" s="22">
        <v>2019</v>
      </c>
    </row>
    <row r="3878" spans="1:6" ht="15.75">
      <c r="A3878" s="22" t="s">
        <v>1441</v>
      </c>
      <c r="B3878" s="26">
        <v>43659</v>
      </c>
      <c r="C3878" s="27">
        <v>43.09</v>
      </c>
      <c r="D3878" s="25" t="str">
        <f t="shared" si="120"/>
        <v>201928</v>
      </c>
      <c r="E3878" s="22" t="str">
        <f t="shared" ca="1" si="121"/>
        <v>201907</v>
      </c>
      <c r="F3878" s="22">
        <v>2019</v>
      </c>
    </row>
    <row r="3879" spans="1:6" ht="15.75">
      <c r="A3879" s="22" t="s">
        <v>1442</v>
      </c>
      <c r="B3879" s="23">
        <v>43660</v>
      </c>
      <c r="C3879" s="24">
        <v>4.58</v>
      </c>
      <c r="D3879" s="25" t="str">
        <f t="shared" si="120"/>
        <v>201928</v>
      </c>
      <c r="E3879" s="22" t="str">
        <f t="shared" ca="1" si="121"/>
        <v>201907</v>
      </c>
      <c r="F3879" s="22">
        <v>2019</v>
      </c>
    </row>
    <row r="3880" spans="1:6" ht="15.75">
      <c r="A3880" s="22" t="s">
        <v>1442</v>
      </c>
      <c r="B3880" s="23">
        <v>43660</v>
      </c>
      <c r="C3880" s="24">
        <v>0</v>
      </c>
      <c r="D3880" s="25" t="str">
        <f t="shared" si="120"/>
        <v>201928</v>
      </c>
      <c r="E3880" s="22" t="str">
        <f t="shared" ca="1" si="121"/>
        <v>201907</v>
      </c>
      <c r="F3880" s="22">
        <v>2019</v>
      </c>
    </row>
    <row r="3881" spans="1:6" ht="15.75">
      <c r="A3881" s="22" t="s">
        <v>1443</v>
      </c>
      <c r="B3881" s="20">
        <v>43660</v>
      </c>
      <c r="C3881" s="21">
        <v>286.56999191641802</v>
      </c>
      <c r="D3881" s="25" t="str">
        <f t="shared" si="120"/>
        <v>201928</v>
      </c>
      <c r="E3881" s="22" t="str">
        <f t="shared" ca="1" si="121"/>
        <v>201907</v>
      </c>
      <c r="F3881" s="22">
        <v>2019</v>
      </c>
    </row>
    <row r="3882" spans="1:6" ht="15.75">
      <c r="A3882" s="22" t="s">
        <v>1441</v>
      </c>
      <c r="B3882" s="26">
        <v>43660</v>
      </c>
      <c r="C3882" s="27">
        <v>40.49</v>
      </c>
      <c r="D3882" s="25" t="str">
        <f t="shared" si="120"/>
        <v>201928</v>
      </c>
      <c r="E3882" s="22" t="str">
        <f t="shared" ca="1" si="121"/>
        <v>201907</v>
      </c>
      <c r="F3882" s="22">
        <v>2019</v>
      </c>
    </row>
    <row r="3883" spans="1:6" ht="15.75">
      <c r="A3883" s="22" t="s">
        <v>1442</v>
      </c>
      <c r="B3883" s="23">
        <v>43661</v>
      </c>
      <c r="C3883" s="24">
        <v>8.01</v>
      </c>
      <c r="D3883" s="25" t="str">
        <f t="shared" si="120"/>
        <v>201929</v>
      </c>
      <c r="E3883" s="22" t="str">
        <f t="shared" ca="1" si="121"/>
        <v>201907</v>
      </c>
      <c r="F3883" s="22">
        <v>2019</v>
      </c>
    </row>
    <row r="3884" spans="1:6" ht="15.75">
      <c r="A3884" s="22" t="s">
        <v>1442</v>
      </c>
      <c r="B3884" s="23">
        <v>43661</v>
      </c>
      <c r="C3884" s="24">
        <v>0</v>
      </c>
      <c r="D3884" s="25" t="str">
        <f t="shared" si="120"/>
        <v>201929</v>
      </c>
      <c r="E3884" s="22" t="str">
        <f t="shared" ca="1" si="121"/>
        <v>201907</v>
      </c>
      <c r="F3884" s="22">
        <v>2019</v>
      </c>
    </row>
    <row r="3885" spans="1:6" ht="15.75">
      <c r="A3885" s="22" t="s">
        <v>1443</v>
      </c>
      <c r="B3885" s="20">
        <v>43661</v>
      </c>
      <c r="C3885" s="21">
        <v>265.64999604225198</v>
      </c>
      <c r="D3885" s="25" t="str">
        <f t="shared" si="120"/>
        <v>201929</v>
      </c>
      <c r="E3885" s="22" t="str">
        <f t="shared" ca="1" si="121"/>
        <v>201907</v>
      </c>
      <c r="F3885" s="22">
        <v>2019</v>
      </c>
    </row>
    <row r="3886" spans="1:6" ht="15.75">
      <c r="A3886" s="22" t="s">
        <v>1441</v>
      </c>
      <c r="B3886" s="26">
        <v>43661</v>
      </c>
      <c r="C3886" s="27">
        <v>46.98</v>
      </c>
      <c r="D3886" s="25" t="str">
        <f t="shared" si="120"/>
        <v>201929</v>
      </c>
      <c r="E3886" s="22" t="str">
        <f t="shared" ca="1" si="121"/>
        <v>201907</v>
      </c>
      <c r="F3886" s="22">
        <v>2019</v>
      </c>
    </row>
    <row r="3887" spans="1:6" ht="15.75">
      <c r="A3887" s="22" t="s">
        <v>1442</v>
      </c>
      <c r="B3887" s="23">
        <v>43662</v>
      </c>
      <c r="C3887" s="24">
        <v>6.75</v>
      </c>
      <c r="D3887" s="25" t="str">
        <f t="shared" si="120"/>
        <v>201929</v>
      </c>
      <c r="E3887" s="22" t="str">
        <f t="shared" ca="1" si="121"/>
        <v>201907</v>
      </c>
      <c r="F3887" s="22">
        <v>2019</v>
      </c>
    </row>
    <row r="3888" spans="1:6" ht="15.75">
      <c r="A3888" s="22" t="s">
        <v>1442</v>
      </c>
      <c r="B3888" s="23">
        <v>43662</v>
      </c>
      <c r="C3888" s="24">
        <v>0</v>
      </c>
      <c r="D3888" s="25" t="str">
        <f t="shared" si="120"/>
        <v>201929</v>
      </c>
      <c r="E3888" s="22" t="str">
        <f t="shared" ca="1" si="121"/>
        <v>201907</v>
      </c>
      <c r="F3888" s="22">
        <v>2019</v>
      </c>
    </row>
    <row r="3889" spans="1:6" ht="15.75">
      <c r="A3889" s="22" t="s">
        <v>1443</v>
      </c>
      <c r="B3889" s="20">
        <v>43662</v>
      </c>
      <c r="C3889" s="21">
        <v>165.75000122189499</v>
      </c>
      <c r="D3889" s="25" t="str">
        <f t="shared" si="120"/>
        <v>201929</v>
      </c>
      <c r="E3889" s="22" t="str">
        <f t="shared" ca="1" si="121"/>
        <v>201907</v>
      </c>
      <c r="F3889" s="22">
        <v>2019</v>
      </c>
    </row>
    <row r="3890" spans="1:6" ht="15.75">
      <c r="A3890" s="22" t="s">
        <v>1441</v>
      </c>
      <c r="B3890" s="26">
        <v>43662</v>
      </c>
      <c r="C3890" s="27">
        <v>54.89</v>
      </c>
      <c r="D3890" s="25" t="str">
        <f t="shared" si="120"/>
        <v>201929</v>
      </c>
      <c r="E3890" s="22" t="str">
        <f t="shared" ca="1" si="121"/>
        <v>201907</v>
      </c>
      <c r="F3890" s="22">
        <v>2019</v>
      </c>
    </row>
    <row r="3891" spans="1:6" ht="15.75">
      <c r="A3891" s="22" t="s">
        <v>1442</v>
      </c>
      <c r="B3891" s="23">
        <v>43663</v>
      </c>
      <c r="C3891" s="24">
        <v>6.04</v>
      </c>
      <c r="D3891" s="25" t="str">
        <f t="shared" si="120"/>
        <v>201929</v>
      </c>
      <c r="E3891" s="22" t="str">
        <f t="shared" ca="1" si="121"/>
        <v>201907</v>
      </c>
      <c r="F3891" s="22">
        <v>2019</v>
      </c>
    </row>
    <row r="3892" spans="1:6" ht="15.75">
      <c r="A3892" s="22" t="s">
        <v>1442</v>
      </c>
      <c r="B3892" s="23">
        <v>43663</v>
      </c>
      <c r="C3892" s="24">
        <v>0</v>
      </c>
      <c r="D3892" s="25" t="str">
        <f t="shared" si="120"/>
        <v>201929</v>
      </c>
      <c r="E3892" s="22" t="str">
        <f t="shared" ca="1" si="121"/>
        <v>201907</v>
      </c>
      <c r="F3892" s="22">
        <v>2019</v>
      </c>
    </row>
    <row r="3893" spans="1:6" ht="15.75">
      <c r="A3893" s="22" t="s">
        <v>1443</v>
      </c>
      <c r="B3893" s="20">
        <v>43663</v>
      </c>
      <c r="C3893" s="21">
        <v>101.21000443398999</v>
      </c>
      <c r="D3893" s="25" t="str">
        <f t="shared" si="120"/>
        <v>201929</v>
      </c>
      <c r="E3893" s="22" t="str">
        <f t="shared" ca="1" si="121"/>
        <v>201907</v>
      </c>
      <c r="F3893" s="22">
        <v>2019</v>
      </c>
    </row>
    <row r="3894" spans="1:6" ht="15.75">
      <c r="A3894" s="22" t="s">
        <v>1441</v>
      </c>
      <c r="B3894" s="26">
        <v>43663</v>
      </c>
      <c r="C3894" s="27">
        <v>54.68</v>
      </c>
      <c r="D3894" s="25" t="str">
        <f t="shared" si="120"/>
        <v>201929</v>
      </c>
      <c r="E3894" s="22" t="str">
        <f t="shared" ca="1" si="121"/>
        <v>201907</v>
      </c>
      <c r="F3894" s="22">
        <v>2019</v>
      </c>
    </row>
    <row r="3895" spans="1:6" ht="15.75">
      <c r="A3895" s="22" t="s">
        <v>1442</v>
      </c>
      <c r="B3895" s="23">
        <v>43664</v>
      </c>
      <c r="C3895" s="24">
        <v>4.67</v>
      </c>
      <c r="D3895" s="25" t="str">
        <f t="shared" si="120"/>
        <v>201929</v>
      </c>
      <c r="E3895" s="22" t="str">
        <f t="shared" ca="1" si="121"/>
        <v>201907</v>
      </c>
      <c r="F3895" s="22">
        <v>2019</v>
      </c>
    </row>
    <row r="3896" spans="1:6" ht="15.75">
      <c r="A3896" s="22" t="s">
        <v>1442</v>
      </c>
      <c r="B3896" s="23">
        <v>43664</v>
      </c>
      <c r="C3896" s="24">
        <v>0</v>
      </c>
      <c r="D3896" s="25" t="str">
        <f t="shared" si="120"/>
        <v>201929</v>
      </c>
      <c r="E3896" s="22" t="str">
        <f t="shared" ca="1" si="121"/>
        <v>201907</v>
      </c>
      <c r="F3896" s="22">
        <v>2019</v>
      </c>
    </row>
    <row r="3897" spans="1:6" ht="15.75">
      <c r="A3897" s="22" t="s">
        <v>1443</v>
      </c>
      <c r="B3897" s="20">
        <v>43664</v>
      </c>
      <c r="C3897" s="21">
        <v>52.700001627206802</v>
      </c>
      <c r="D3897" s="25" t="str">
        <f t="shared" si="120"/>
        <v>201929</v>
      </c>
      <c r="E3897" s="22" t="str">
        <f t="shared" ca="1" si="121"/>
        <v>201907</v>
      </c>
      <c r="F3897" s="22">
        <v>2019</v>
      </c>
    </row>
    <row r="3898" spans="1:6" ht="15.75">
      <c r="A3898" s="22" t="s">
        <v>1441</v>
      </c>
      <c r="B3898" s="26">
        <v>43664</v>
      </c>
      <c r="C3898" s="27">
        <v>55.03</v>
      </c>
      <c r="D3898" s="25" t="str">
        <f t="shared" si="120"/>
        <v>201929</v>
      </c>
      <c r="E3898" s="22" t="str">
        <f t="shared" ca="1" si="121"/>
        <v>201907</v>
      </c>
      <c r="F3898" s="22">
        <v>2019</v>
      </c>
    </row>
    <row r="3899" spans="1:6" ht="15.75">
      <c r="A3899" s="22" t="s">
        <v>1442</v>
      </c>
      <c r="B3899" s="23">
        <v>43665</v>
      </c>
      <c r="C3899" s="24">
        <v>3.93</v>
      </c>
      <c r="D3899" s="25" t="str">
        <f t="shared" si="120"/>
        <v>201929</v>
      </c>
      <c r="E3899" s="22" t="str">
        <f t="shared" ca="1" si="121"/>
        <v>201907</v>
      </c>
      <c r="F3899" s="22">
        <v>2019</v>
      </c>
    </row>
    <row r="3900" spans="1:6" ht="15.75">
      <c r="A3900" s="22" t="s">
        <v>1442</v>
      </c>
      <c r="B3900" s="23">
        <v>43665</v>
      </c>
      <c r="C3900" s="24">
        <v>0</v>
      </c>
      <c r="D3900" s="25" t="str">
        <f t="shared" si="120"/>
        <v>201929</v>
      </c>
      <c r="E3900" s="22" t="str">
        <f t="shared" ca="1" si="121"/>
        <v>201907</v>
      </c>
      <c r="F3900" s="22">
        <v>2019</v>
      </c>
    </row>
    <row r="3901" spans="1:6" ht="15.75">
      <c r="A3901" s="22" t="s">
        <v>1443</v>
      </c>
      <c r="B3901" s="20">
        <v>43665</v>
      </c>
      <c r="C3901" s="21">
        <v>41.8599997758865</v>
      </c>
      <c r="D3901" s="25" t="str">
        <f t="shared" si="120"/>
        <v>201929</v>
      </c>
      <c r="E3901" s="22" t="str">
        <f t="shared" ca="1" si="121"/>
        <v>201907</v>
      </c>
      <c r="F3901" s="22">
        <v>2019</v>
      </c>
    </row>
    <row r="3902" spans="1:6" ht="15.75">
      <c r="A3902" s="22" t="s">
        <v>1441</v>
      </c>
      <c r="B3902" s="26">
        <v>43665</v>
      </c>
      <c r="C3902" s="27">
        <v>54.16</v>
      </c>
      <c r="D3902" s="25" t="str">
        <f t="shared" si="120"/>
        <v>201929</v>
      </c>
      <c r="E3902" s="22" t="str">
        <f t="shared" ca="1" si="121"/>
        <v>201907</v>
      </c>
      <c r="F3902" s="22">
        <v>2019</v>
      </c>
    </row>
    <row r="3903" spans="1:6" ht="15.75">
      <c r="A3903" s="22" t="s">
        <v>1442</v>
      </c>
      <c r="B3903" s="23">
        <v>43666</v>
      </c>
      <c r="C3903" s="24">
        <v>5.05</v>
      </c>
      <c r="D3903" s="25" t="str">
        <f t="shared" si="120"/>
        <v>201929</v>
      </c>
      <c r="E3903" s="22" t="str">
        <f t="shared" ca="1" si="121"/>
        <v>201907</v>
      </c>
      <c r="F3903" s="22">
        <v>2019</v>
      </c>
    </row>
    <row r="3904" spans="1:6" ht="15.75">
      <c r="A3904" s="22" t="s">
        <v>1442</v>
      </c>
      <c r="B3904" s="23">
        <v>43666</v>
      </c>
      <c r="C3904" s="24">
        <v>0</v>
      </c>
      <c r="D3904" s="25" t="str">
        <f t="shared" si="120"/>
        <v>201929</v>
      </c>
      <c r="E3904" s="22" t="str">
        <f t="shared" ca="1" si="121"/>
        <v>201907</v>
      </c>
      <c r="F3904" s="22">
        <v>2019</v>
      </c>
    </row>
    <row r="3905" spans="1:6" ht="15.75">
      <c r="A3905" s="22" t="s">
        <v>1443</v>
      </c>
      <c r="B3905" s="20">
        <v>43666</v>
      </c>
      <c r="C3905" s="21">
        <v>27.049999967217399</v>
      </c>
      <c r="D3905" s="25" t="str">
        <f t="shared" si="120"/>
        <v>201929</v>
      </c>
      <c r="E3905" s="22" t="str">
        <f t="shared" ca="1" si="121"/>
        <v>201907</v>
      </c>
      <c r="F3905" s="22">
        <v>2019</v>
      </c>
    </row>
    <row r="3906" spans="1:6" ht="15.75">
      <c r="A3906" s="22" t="s">
        <v>1441</v>
      </c>
      <c r="B3906" s="26">
        <v>43666</v>
      </c>
      <c r="C3906" s="27">
        <v>53.39</v>
      </c>
      <c r="D3906" s="25" t="str">
        <f t="shared" si="120"/>
        <v>201929</v>
      </c>
      <c r="E3906" s="22" t="str">
        <f t="shared" ca="1" si="121"/>
        <v>201907</v>
      </c>
      <c r="F3906" s="22">
        <v>2019</v>
      </c>
    </row>
    <row r="3907" spans="1:6" ht="15.75">
      <c r="A3907" s="22" t="s">
        <v>1442</v>
      </c>
      <c r="B3907" s="23">
        <v>43667</v>
      </c>
      <c r="C3907" s="24">
        <v>5.14</v>
      </c>
      <c r="D3907" s="25" t="str">
        <f t="shared" ref="D3907:D3970" si="122">CONCATENATE(YEAR(B3907-WEEKDAY(B3907,3)+3),TEXT(WEEKNUM(B3907,21),"00"))</f>
        <v>201929</v>
      </c>
      <c r="E3907" s="22" t="str">
        <f t="shared" ref="E3907:E3970" ca="1" si="123">IF(
  AND(
    YEAR(B3907)=YEAR(TODAY())-1,
    MONTH(B3907)=MONTH(TODAY()),
    DAY(B3907)&gt;DAY($H$2)
  ),
  0,
  CONCATENATE(YEAR(B3907),TEXT(MONTH(B3907),"00"))
)</f>
        <v>201907</v>
      </c>
      <c r="F3907" s="22">
        <v>2019</v>
      </c>
    </row>
    <row r="3908" spans="1:6" ht="15.75">
      <c r="A3908" s="22" t="s">
        <v>1442</v>
      </c>
      <c r="B3908" s="23">
        <v>43667</v>
      </c>
      <c r="C3908" s="24">
        <v>0</v>
      </c>
      <c r="D3908" s="25" t="str">
        <f t="shared" si="122"/>
        <v>201929</v>
      </c>
      <c r="E3908" s="22" t="str">
        <f t="shared" ca="1" si="123"/>
        <v>201907</v>
      </c>
      <c r="F3908" s="22">
        <v>2019</v>
      </c>
    </row>
    <row r="3909" spans="1:6" ht="15.75">
      <c r="A3909" s="22" t="s">
        <v>1443</v>
      </c>
      <c r="B3909" s="20">
        <v>43667</v>
      </c>
      <c r="C3909" s="21">
        <v>41.989999696612401</v>
      </c>
      <c r="D3909" s="25" t="str">
        <f t="shared" si="122"/>
        <v>201929</v>
      </c>
      <c r="E3909" s="22" t="str">
        <f t="shared" ca="1" si="123"/>
        <v>201907</v>
      </c>
      <c r="F3909" s="22">
        <v>2019</v>
      </c>
    </row>
    <row r="3910" spans="1:6" ht="15.75">
      <c r="A3910" s="22" t="s">
        <v>1441</v>
      </c>
      <c r="B3910" s="26">
        <v>43667</v>
      </c>
      <c r="C3910" s="27">
        <v>55.38</v>
      </c>
      <c r="D3910" s="25" t="str">
        <f t="shared" si="122"/>
        <v>201929</v>
      </c>
      <c r="E3910" s="22" t="str">
        <f t="shared" ca="1" si="123"/>
        <v>201907</v>
      </c>
      <c r="F3910" s="22">
        <v>2019</v>
      </c>
    </row>
    <row r="3911" spans="1:6" ht="15.75">
      <c r="A3911" s="22" t="s">
        <v>1442</v>
      </c>
      <c r="B3911" s="23">
        <v>43668</v>
      </c>
      <c r="C3911" s="24">
        <v>84.24</v>
      </c>
      <c r="D3911" s="25" t="str">
        <f t="shared" si="122"/>
        <v>201930</v>
      </c>
      <c r="E3911" s="22" t="str">
        <f t="shared" ca="1" si="123"/>
        <v>201907</v>
      </c>
      <c r="F3911" s="22">
        <v>2019</v>
      </c>
    </row>
    <row r="3912" spans="1:6" ht="15.75">
      <c r="A3912" s="22" t="s">
        <v>1442</v>
      </c>
      <c r="B3912" s="23">
        <v>43668</v>
      </c>
      <c r="C3912" s="24">
        <v>1.98</v>
      </c>
      <c r="D3912" s="25" t="str">
        <f t="shared" si="122"/>
        <v>201930</v>
      </c>
      <c r="E3912" s="22" t="str">
        <f t="shared" ca="1" si="123"/>
        <v>201907</v>
      </c>
      <c r="F3912" s="22">
        <v>2019</v>
      </c>
    </row>
    <row r="3913" spans="1:6" ht="15.75">
      <c r="A3913" s="22" t="s">
        <v>1443</v>
      </c>
      <c r="B3913" s="20">
        <v>43668</v>
      </c>
      <c r="C3913" s="21">
        <v>46.240000247955301</v>
      </c>
      <c r="D3913" s="25" t="str">
        <f t="shared" si="122"/>
        <v>201930</v>
      </c>
      <c r="E3913" s="22" t="str">
        <f t="shared" ca="1" si="123"/>
        <v>201907</v>
      </c>
      <c r="F3913" s="22">
        <v>2019</v>
      </c>
    </row>
    <row r="3914" spans="1:6" ht="15.75">
      <c r="A3914" s="22" t="s">
        <v>1441</v>
      </c>
      <c r="B3914" s="26">
        <v>43668</v>
      </c>
      <c r="C3914" s="27">
        <v>55.41</v>
      </c>
      <c r="D3914" s="25" t="str">
        <f t="shared" si="122"/>
        <v>201930</v>
      </c>
      <c r="E3914" s="22" t="str">
        <f t="shared" ca="1" si="123"/>
        <v>201907</v>
      </c>
      <c r="F3914" s="22">
        <v>2019</v>
      </c>
    </row>
    <row r="3915" spans="1:6" ht="15.75">
      <c r="A3915" s="22" t="s">
        <v>1442</v>
      </c>
      <c r="B3915" s="23">
        <v>43669</v>
      </c>
      <c r="C3915" s="24">
        <v>65.37</v>
      </c>
      <c r="D3915" s="25" t="str">
        <f t="shared" si="122"/>
        <v>201930</v>
      </c>
      <c r="E3915" s="22" t="str">
        <f t="shared" ca="1" si="123"/>
        <v>201907</v>
      </c>
      <c r="F3915" s="22">
        <v>2019</v>
      </c>
    </row>
    <row r="3916" spans="1:6" ht="15.75">
      <c r="A3916" s="22" t="s">
        <v>1442</v>
      </c>
      <c r="B3916" s="23">
        <v>43669</v>
      </c>
      <c r="C3916" s="24">
        <v>1.1399999999999999</v>
      </c>
      <c r="D3916" s="25" t="str">
        <f t="shared" si="122"/>
        <v>201930</v>
      </c>
      <c r="E3916" s="22" t="str">
        <f t="shared" ca="1" si="123"/>
        <v>201907</v>
      </c>
      <c r="F3916" s="22">
        <v>2019</v>
      </c>
    </row>
    <row r="3917" spans="1:6" ht="15.75">
      <c r="A3917" s="22" t="s">
        <v>1443</v>
      </c>
      <c r="B3917" s="20">
        <v>43669</v>
      </c>
      <c r="C3917" s="21">
        <v>36.910000577569001</v>
      </c>
      <c r="D3917" s="25" t="str">
        <f t="shared" si="122"/>
        <v>201930</v>
      </c>
      <c r="E3917" s="22" t="str">
        <f t="shared" ca="1" si="123"/>
        <v>201907</v>
      </c>
      <c r="F3917" s="22">
        <v>2019</v>
      </c>
    </row>
    <row r="3918" spans="1:6" ht="15.75">
      <c r="A3918" s="22" t="s">
        <v>1441</v>
      </c>
      <c r="B3918" s="26">
        <v>43669</v>
      </c>
      <c r="C3918" s="27">
        <v>55</v>
      </c>
      <c r="D3918" s="25" t="str">
        <f t="shared" si="122"/>
        <v>201930</v>
      </c>
      <c r="E3918" s="22" t="str">
        <f t="shared" ca="1" si="123"/>
        <v>201907</v>
      </c>
      <c r="F3918" s="22">
        <v>2019</v>
      </c>
    </row>
    <row r="3919" spans="1:6" ht="15.75">
      <c r="A3919" s="22" t="s">
        <v>1442</v>
      </c>
      <c r="B3919" s="23">
        <v>43670</v>
      </c>
      <c r="C3919" s="24">
        <v>40.380000000000003</v>
      </c>
      <c r="D3919" s="25" t="str">
        <f t="shared" si="122"/>
        <v>201930</v>
      </c>
      <c r="E3919" s="22" t="str">
        <f t="shared" ca="1" si="123"/>
        <v>201907</v>
      </c>
      <c r="F3919" s="22">
        <v>2019</v>
      </c>
    </row>
    <row r="3920" spans="1:6" ht="15.75">
      <c r="A3920" s="22" t="s">
        <v>1442</v>
      </c>
      <c r="B3920" s="23">
        <v>43670</v>
      </c>
      <c r="C3920" s="24">
        <v>2.89</v>
      </c>
      <c r="D3920" s="25" t="str">
        <f t="shared" si="122"/>
        <v>201930</v>
      </c>
      <c r="E3920" s="22" t="str">
        <f t="shared" ca="1" si="123"/>
        <v>201907</v>
      </c>
      <c r="F3920" s="22">
        <v>2019</v>
      </c>
    </row>
    <row r="3921" spans="1:6" ht="15.75">
      <c r="A3921" s="22" t="s">
        <v>1443</v>
      </c>
      <c r="B3921" s="20">
        <v>43670</v>
      </c>
      <c r="C3921" s="21">
        <v>30.600000426173199</v>
      </c>
      <c r="D3921" s="25" t="str">
        <f t="shared" si="122"/>
        <v>201930</v>
      </c>
      <c r="E3921" s="22" t="str">
        <f t="shared" ca="1" si="123"/>
        <v>201907</v>
      </c>
      <c r="F3921" s="22">
        <v>2019</v>
      </c>
    </row>
    <row r="3922" spans="1:6" ht="15.75">
      <c r="A3922" s="22" t="s">
        <v>1441</v>
      </c>
      <c r="B3922" s="26">
        <v>43670</v>
      </c>
      <c r="C3922" s="27">
        <v>68.52</v>
      </c>
      <c r="D3922" s="25" t="str">
        <f t="shared" si="122"/>
        <v>201930</v>
      </c>
      <c r="E3922" s="22" t="str">
        <f t="shared" ca="1" si="123"/>
        <v>201907</v>
      </c>
      <c r="F3922" s="22">
        <v>2019</v>
      </c>
    </row>
    <row r="3923" spans="1:6" ht="15.75">
      <c r="A3923" s="22" t="s">
        <v>1442</v>
      </c>
      <c r="B3923" s="23">
        <v>43671</v>
      </c>
      <c r="C3923" s="24">
        <v>47.38</v>
      </c>
      <c r="D3923" s="25" t="str">
        <f t="shared" si="122"/>
        <v>201930</v>
      </c>
      <c r="E3923" s="22" t="str">
        <f t="shared" ca="1" si="123"/>
        <v>201907</v>
      </c>
      <c r="F3923" s="22">
        <v>2019</v>
      </c>
    </row>
    <row r="3924" spans="1:6" ht="15.75">
      <c r="A3924" s="22" t="s">
        <v>1442</v>
      </c>
      <c r="B3924" s="23">
        <v>43671</v>
      </c>
      <c r="C3924" s="24">
        <v>2.71</v>
      </c>
      <c r="D3924" s="25" t="str">
        <f t="shared" si="122"/>
        <v>201930</v>
      </c>
      <c r="E3924" s="22" t="str">
        <f t="shared" ca="1" si="123"/>
        <v>201907</v>
      </c>
      <c r="F3924" s="22">
        <v>2019</v>
      </c>
    </row>
    <row r="3925" spans="1:6" ht="15.75">
      <c r="A3925" s="22" t="s">
        <v>1443</v>
      </c>
      <c r="B3925" s="20">
        <v>43671</v>
      </c>
      <c r="C3925" s="21">
        <v>27.8799999058247</v>
      </c>
      <c r="D3925" s="25" t="str">
        <f t="shared" si="122"/>
        <v>201930</v>
      </c>
      <c r="E3925" s="22" t="str">
        <f t="shared" ca="1" si="123"/>
        <v>201907</v>
      </c>
      <c r="F3925" s="22">
        <v>2019</v>
      </c>
    </row>
    <row r="3926" spans="1:6" ht="15.75">
      <c r="A3926" s="22" t="s">
        <v>1441</v>
      </c>
      <c r="B3926" s="26">
        <v>43671</v>
      </c>
      <c r="C3926" s="27">
        <v>63.86</v>
      </c>
      <c r="D3926" s="25" t="str">
        <f t="shared" si="122"/>
        <v>201930</v>
      </c>
      <c r="E3926" s="22" t="str">
        <f t="shared" ca="1" si="123"/>
        <v>201907</v>
      </c>
      <c r="F3926" s="22">
        <v>2019</v>
      </c>
    </row>
    <row r="3927" spans="1:6" ht="15.75">
      <c r="A3927" s="22" t="s">
        <v>1442</v>
      </c>
      <c r="B3927" s="23">
        <v>43672</v>
      </c>
      <c r="C3927" s="24">
        <v>35.67</v>
      </c>
      <c r="D3927" s="25" t="str">
        <f t="shared" si="122"/>
        <v>201930</v>
      </c>
      <c r="E3927" s="22" t="str">
        <f t="shared" ca="1" si="123"/>
        <v>201907</v>
      </c>
      <c r="F3927" s="22">
        <v>2019</v>
      </c>
    </row>
    <row r="3928" spans="1:6" ht="15.75">
      <c r="A3928" s="22" t="s">
        <v>1442</v>
      </c>
      <c r="B3928" s="23">
        <v>43672</v>
      </c>
      <c r="C3928" s="24">
        <v>0.14000000000000001</v>
      </c>
      <c r="D3928" s="25" t="str">
        <f t="shared" si="122"/>
        <v>201930</v>
      </c>
      <c r="E3928" s="22" t="str">
        <f t="shared" ca="1" si="123"/>
        <v>201907</v>
      </c>
      <c r="F3928" s="22">
        <v>2019</v>
      </c>
    </row>
    <row r="3929" spans="1:6" ht="15.75">
      <c r="A3929" s="22" t="s">
        <v>1443</v>
      </c>
      <c r="B3929" s="20">
        <v>43672</v>
      </c>
      <c r="C3929" s="21">
        <v>16.830000251531601</v>
      </c>
      <c r="D3929" s="25" t="str">
        <f t="shared" si="122"/>
        <v>201930</v>
      </c>
      <c r="E3929" s="22" t="str">
        <f t="shared" ca="1" si="123"/>
        <v>201907</v>
      </c>
      <c r="F3929" s="22">
        <v>2019</v>
      </c>
    </row>
    <row r="3930" spans="1:6" ht="15.75">
      <c r="A3930" s="22" t="s">
        <v>1441</v>
      </c>
      <c r="B3930" s="26">
        <v>43672</v>
      </c>
      <c r="C3930" s="27">
        <v>54.51</v>
      </c>
      <c r="D3930" s="25" t="str">
        <f t="shared" si="122"/>
        <v>201930</v>
      </c>
      <c r="E3930" s="22" t="str">
        <f t="shared" ca="1" si="123"/>
        <v>201907</v>
      </c>
      <c r="F3930" s="22">
        <v>2019</v>
      </c>
    </row>
    <row r="3931" spans="1:6" ht="15.75">
      <c r="A3931" s="22" t="s">
        <v>1442</v>
      </c>
      <c r="B3931" s="23">
        <v>43673</v>
      </c>
      <c r="C3931" s="24">
        <v>35.869999999999997</v>
      </c>
      <c r="D3931" s="25" t="str">
        <f t="shared" si="122"/>
        <v>201930</v>
      </c>
      <c r="E3931" s="22" t="str">
        <f t="shared" ca="1" si="123"/>
        <v>201907</v>
      </c>
      <c r="F3931" s="22">
        <v>2019</v>
      </c>
    </row>
    <row r="3932" spans="1:6" ht="15.75">
      <c r="A3932" s="22" t="s">
        <v>1442</v>
      </c>
      <c r="B3932" s="23">
        <v>43673</v>
      </c>
      <c r="C3932" s="24">
        <v>0.73</v>
      </c>
      <c r="D3932" s="25" t="str">
        <f t="shared" si="122"/>
        <v>201930</v>
      </c>
      <c r="E3932" s="22" t="str">
        <f t="shared" ca="1" si="123"/>
        <v>201907</v>
      </c>
      <c r="F3932" s="22">
        <v>2019</v>
      </c>
    </row>
    <row r="3933" spans="1:6" ht="15.75">
      <c r="A3933" s="22" t="s">
        <v>1443</v>
      </c>
      <c r="B3933" s="20">
        <v>43673</v>
      </c>
      <c r="C3933" s="21">
        <v>17.170000031590501</v>
      </c>
      <c r="D3933" s="25" t="str">
        <f t="shared" si="122"/>
        <v>201930</v>
      </c>
      <c r="E3933" s="22" t="str">
        <f t="shared" ca="1" si="123"/>
        <v>201907</v>
      </c>
      <c r="F3933" s="22">
        <v>2019</v>
      </c>
    </row>
    <row r="3934" spans="1:6" ht="15.75">
      <c r="A3934" s="22" t="s">
        <v>1441</v>
      </c>
      <c r="B3934" s="26">
        <v>43673</v>
      </c>
      <c r="C3934" s="27">
        <v>54.25</v>
      </c>
      <c r="D3934" s="25" t="str">
        <f t="shared" si="122"/>
        <v>201930</v>
      </c>
      <c r="E3934" s="22" t="str">
        <f t="shared" ca="1" si="123"/>
        <v>201907</v>
      </c>
      <c r="F3934" s="22">
        <v>2019</v>
      </c>
    </row>
    <row r="3935" spans="1:6" ht="15.75">
      <c r="A3935" s="22" t="s">
        <v>1442</v>
      </c>
      <c r="B3935" s="23">
        <v>43674</v>
      </c>
      <c r="C3935" s="24">
        <v>34.619999999999997</v>
      </c>
      <c r="D3935" s="25" t="str">
        <f t="shared" si="122"/>
        <v>201930</v>
      </c>
      <c r="E3935" s="22" t="str">
        <f t="shared" ca="1" si="123"/>
        <v>201907</v>
      </c>
      <c r="F3935" s="22">
        <v>2019</v>
      </c>
    </row>
    <row r="3936" spans="1:6" ht="15.75">
      <c r="A3936" s="22" t="s">
        <v>1442</v>
      </c>
      <c r="B3936" s="23">
        <v>43674</v>
      </c>
      <c r="C3936" s="24">
        <v>1.44</v>
      </c>
      <c r="D3936" s="25" t="str">
        <f t="shared" si="122"/>
        <v>201930</v>
      </c>
      <c r="E3936" s="22" t="str">
        <f t="shared" ca="1" si="123"/>
        <v>201907</v>
      </c>
      <c r="F3936" s="22">
        <v>2019</v>
      </c>
    </row>
    <row r="3937" spans="1:6" ht="15.75">
      <c r="A3937" s="22" t="s">
        <v>1443</v>
      </c>
      <c r="B3937" s="20">
        <v>43674</v>
      </c>
      <c r="C3937" s="21">
        <v>15.979999884963</v>
      </c>
      <c r="D3937" s="25" t="str">
        <f t="shared" si="122"/>
        <v>201930</v>
      </c>
      <c r="E3937" s="22" t="str">
        <f t="shared" ca="1" si="123"/>
        <v>201907</v>
      </c>
      <c r="F3937" s="22">
        <v>2019</v>
      </c>
    </row>
    <row r="3938" spans="1:6" ht="15.75">
      <c r="A3938" s="22" t="s">
        <v>1441</v>
      </c>
      <c r="B3938" s="26">
        <v>43674</v>
      </c>
      <c r="C3938" s="27">
        <v>55.31</v>
      </c>
      <c r="D3938" s="25" t="str">
        <f t="shared" si="122"/>
        <v>201930</v>
      </c>
      <c r="E3938" s="22" t="str">
        <f t="shared" ca="1" si="123"/>
        <v>201907</v>
      </c>
      <c r="F3938" s="22">
        <v>2019</v>
      </c>
    </row>
    <row r="3939" spans="1:6" ht="15.75">
      <c r="A3939" s="22" t="s">
        <v>1442</v>
      </c>
      <c r="B3939" s="23">
        <v>43675</v>
      </c>
      <c r="C3939" s="24">
        <v>33.33</v>
      </c>
      <c r="D3939" s="25" t="str">
        <f t="shared" si="122"/>
        <v>201931</v>
      </c>
      <c r="E3939" s="22" t="str">
        <f t="shared" ca="1" si="123"/>
        <v>201907</v>
      </c>
      <c r="F3939" s="22">
        <v>2019</v>
      </c>
    </row>
    <row r="3940" spans="1:6" ht="15.75">
      <c r="A3940" s="22" t="s">
        <v>1442</v>
      </c>
      <c r="B3940" s="23">
        <v>43675</v>
      </c>
      <c r="C3940" s="24">
        <v>1.21</v>
      </c>
      <c r="D3940" s="25" t="str">
        <f t="shared" si="122"/>
        <v>201931</v>
      </c>
      <c r="E3940" s="22" t="str">
        <f t="shared" ca="1" si="123"/>
        <v>201907</v>
      </c>
      <c r="F3940" s="22">
        <v>2019</v>
      </c>
    </row>
    <row r="3941" spans="1:6" ht="15.75">
      <c r="A3941" s="22" t="s">
        <v>1443</v>
      </c>
      <c r="B3941" s="20">
        <v>43675</v>
      </c>
      <c r="C3941" s="21">
        <v>20.4375616908073</v>
      </c>
      <c r="D3941" s="25" t="str">
        <f t="shared" si="122"/>
        <v>201931</v>
      </c>
      <c r="E3941" s="22" t="str">
        <f t="shared" ca="1" si="123"/>
        <v>201907</v>
      </c>
      <c r="F3941" s="22">
        <v>2019</v>
      </c>
    </row>
    <row r="3942" spans="1:6" ht="15.75">
      <c r="A3942" s="22" t="s">
        <v>1441</v>
      </c>
      <c r="B3942" s="26">
        <v>43675</v>
      </c>
      <c r="C3942" s="27">
        <v>54.8</v>
      </c>
      <c r="D3942" s="25" t="str">
        <f t="shared" si="122"/>
        <v>201931</v>
      </c>
      <c r="E3942" s="22" t="str">
        <f t="shared" ca="1" si="123"/>
        <v>201907</v>
      </c>
      <c r="F3942" s="22">
        <v>2019</v>
      </c>
    </row>
    <row r="3943" spans="1:6" ht="15.75">
      <c r="A3943" s="22" t="s">
        <v>1442</v>
      </c>
      <c r="B3943" s="23">
        <v>43676</v>
      </c>
      <c r="C3943" s="24">
        <v>25.62</v>
      </c>
      <c r="D3943" s="25" t="str">
        <f t="shared" si="122"/>
        <v>201931</v>
      </c>
      <c r="E3943" s="22" t="str">
        <f t="shared" ca="1" si="123"/>
        <v>201907</v>
      </c>
      <c r="F3943" s="22">
        <v>2019</v>
      </c>
    </row>
    <row r="3944" spans="1:6" ht="15.75">
      <c r="A3944" s="22" t="s">
        <v>1442</v>
      </c>
      <c r="B3944" s="23">
        <v>43676</v>
      </c>
      <c r="C3944" s="24">
        <v>2.4300000000000002</v>
      </c>
      <c r="D3944" s="25" t="str">
        <f t="shared" si="122"/>
        <v>201931</v>
      </c>
      <c r="E3944" s="22" t="str">
        <f t="shared" ca="1" si="123"/>
        <v>201907</v>
      </c>
      <c r="F3944" s="22">
        <v>2019</v>
      </c>
    </row>
    <row r="3945" spans="1:6" ht="15.75">
      <c r="A3945" s="22" t="s">
        <v>1443</v>
      </c>
      <c r="B3945" s="20">
        <v>43676</v>
      </c>
      <c r="C3945" s="21">
        <v>15.1300002634525</v>
      </c>
      <c r="D3945" s="25" t="str">
        <f t="shared" si="122"/>
        <v>201931</v>
      </c>
      <c r="E3945" s="22" t="str">
        <f t="shared" ca="1" si="123"/>
        <v>201907</v>
      </c>
      <c r="F3945" s="22">
        <v>2019</v>
      </c>
    </row>
    <row r="3946" spans="1:6" ht="15.75">
      <c r="A3946" s="22" t="s">
        <v>1441</v>
      </c>
      <c r="B3946" s="26">
        <v>43676</v>
      </c>
      <c r="C3946" s="27">
        <v>55.2</v>
      </c>
      <c r="D3946" s="25" t="str">
        <f t="shared" si="122"/>
        <v>201931</v>
      </c>
      <c r="E3946" s="22" t="str">
        <f t="shared" ca="1" si="123"/>
        <v>201907</v>
      </c>
      <c r="F3946" s="22">
        <v>2019</v>
      </c>
    </row>
    <row r="3947" spans="1:6" ht="15.75">
      <c r="A3947" s="22" t="s">
        <v>1442</v>
      </c>
      <c r="B3947" s="23">
        <v>43677</v>
      </c>
      <c r="C3947" s="24">
        <v>112.92</v>
      </c>
      <c r="D3947" s="25" t="str">
        <f t="shared" si="122"/>
        <v>201931</v>
      </c>
      <c r="E3947" s="22" t="str">
        <f t="shared" ca="1" si="123"/>
        <v>201907</v>
      </c>
      <c r="F3947" s="22">
        <v>2019</v>
      </c>
    </row>
    <row r="3948" spans="1:6" ht="15.75">
      <c r="A3948" s="22" t="s">
        <v>1442</v>
      </c>
      <c r="B3948" s="23">
        <v>43677</v>
      </c>
      <c r="C3948" s="24">
        <v>2.97</v>
      </c>
      <c r="D3948" s="25" t="str">
        <f t="shared" si="122"/>
        <v>201931</v>
      </c>
      <c r="E3948" s="22" t="str">
        <f t="shared" ca="1" si="123"/>
        <v>201907</v>
      </c>
      <c r="F3948" s="22">
        <v>2019</v>
      </c>
    </row>
    <row r="3949" spans="1:6" ht="15.75">
      <c r="A3949" s="22" t="s">
        <v>1443</v>
      </c>
      <c r="B3949" s="20">
        <v>43677</v>
      </c>
      <c r="C3949" s="21">
        <v>15.6400001049042</v>
      </c>
      <c r="D3949" s="25" t="str">
        <f t="shared" si="122"/>
        <v>201931</v>
      </c>
      <c r="E3949" s="22" t="str">
        <f t="shared" ca="1" si="123"/>
        <v>201907</v>
      </c>
      <c r="F3949" s="22">
        <v>2019</v>
      </c>
    </row>
    <row r="3950" spans="1:6" ht="15.75">
      <c r="A3950" s="22" t="s">
        <v>1441</v>
      </c>
      <c r="B3950" s="26">
        <v>43677</v>
      </c>
      <c r="C3950" s="27">
        <v>55.15</v>
      </c>
      <c r="D3950" s="25" t="str">
        <f t="shared" si="122"/>
        <v>201931</v>
      </c>
      <c r="E3950" s="22" t="str">
        <f t="shared" ca="1" si="123"/>
        <v>201907</v>
      </c>
      <c r="F3950" s="22">
        <v>2019</v>
      </c>
    </row>
    <row r="3951" spans="1:6" ht="15.75">
      <c r="A3951" s="22" t="s">
        <v>1442</v>
      </c>
      <c r="B3951" s="23">
        <v>43678</v>
      </c>
      <c r="C3951" s="24">
        <v>83.85</v>
      </c>
      <c r="D3951" s="25" t="str">
        <f t="shared" si="122"/>
        <v>201931</v>
      </c>
      <c r="E3951" s="22" t="str">
        <f t="shared" ca="1" si="123"/>
        <v>201908</v>
      </c>
      <c r="F3951" s="22">
        <v>2019</v>
      </c>
    </row>
    <row r="3952" spans="1:6" ht="15.75">
      <c r="A3952" s="22" t="s">
        <v>1442</v>
      </c>
      <c r="B3952" s="23">
        <v>43678</v>
      </c>
      <c r="C3952" s="24">
        <v>3.44</v>
      </c>
      <c r="D3952" s="25" t="str">
        <f t="shared" si="122"/>
        <v>201931</v>
      </c>
      <c r="E3952" s="22" t="str">
        <f t="shared" ca="1" si="123"/>
        <v>201908</v>
      </c>
      <c r="F3952" s="22">
        <v>2019</v>
      </c>
    </row>
    <row r="3953" spans="1:6" ht="15.75">
      <c r="A3953" s="22" t="s">
        <v>1443</v>
      </c>
      <c r="B3953" s="20">
        <v>43678</v>
      </c>
      <c r="C3953" s="21">
        <v>13.5999999493361</v>
      </c>
      <c r="D3953" s="25" t="str">
        <f t="shared" si="122"/>
        <v>201931</v>
      </c>
      <c r="E3953" s="22" t="str">
        <f t="shared" ca="1" si="123"/>
        <v>201908</v>
      </c>
      <c r="F3953" s="22">
        <v>2019</v>
      </c>
    </row>
    <row r="3954" spans="1:6" ht="15.75">
      <c r="A3954" s="22" t="s">
        <v>1441</v>
      </c>
      <c r="B3954" s="26">
        <v>43678</v>
      </c>
      <c r="C3954" s="27">
        <v>54.2</v>
      </c>
      <c r="D3954" s="25" t="str">
        <f t="shared" si="122"/>
        <v>201931</v>
      </c>
      <c r="E3954" s="22" t="str">
        <f t="shared" ca="1" si="123"/>
        <v>201908</v>
      </c>
      <c r="F3954" s="22">
        <v>2019</v>
      </c>
    </row>
    <row r="3955" spans="1:6" ht="15.75">
      <c r="A3955" s="22" t="s">
        <v>1442</v>
      </c>
      <c r="B3955" s="23">
        <v>43679</v>
      </c>
      <c r="C3955" s="24">
        <v>55.76</v>
      </c>
      <c r="D3955" s="25" t="str">
        <f t="shared" si="122"/>
        <v>201931</v>
      </c>
      <c r="E3955" s="22" t="str">
        <f t="shared" ca="1" si="123"/>
        <v>201908</v>
      </c>
      <c r="F3955" s="22">
        <v>2019</v>
      </c>
    </row>
    <row r="3956" spans="1:6" ht="15.75">
      <c r="A3956" s="22" t="s">
        <v>1442</v>
      </c>
      <c r="B3956" s="23">
        <v>43679</v>
      </c>
      <c r="C3956" s="24">
        <v>2.31</v>
      </c>
      <c r="D3956" s="25" t="str">
        <f t="shared" si="122"/>
        <v>201931</v>
      </c>
      <c r="E3956" s="22" t="str">
        <f t="shared" ca="1" si="123"/>
        <v>201908</v>
      </c>
      <c r="F3956" s="22">
        <v>2019</v>
      </c>
    </row>
    <row r="3957" spans="1:6" ht="15.75">
      <c r="A3957" s="22" t="s">
        <v>1443</v>
      </c>
      <c r="B3957" s="20">
        <v>43679</v>
      </c>
      <c r="C3957" s="21">
        <v>9.3500001132488304</v>
      </c>
      <c r="D3957" s="25" t="str">
        <f t="shared" si="122"/>
        <v>201931</v>
      </c>
      <c r="E3957" s="22" t="str">
        <f t="shared" ca="1" si="123"/>
        <v>201908</v>
      </c>
      <c r="F3957" s="22">
        <v>2019</v>
      </c>
    </row>
    <row r="3958" spans="1:6" ht="15.75">
      <c r="A3958" s="22" t="s">
        <v>1441</v>
      </c>
      <c r="B3958" s="26">
        <v>43679</v>
      </c>
      <c r="C3958" s="27">
        <v>54.97</v>
      </c>
      <c r="D3958" s="25" t="str">
        <f t="shared" si="122"/>
        <v>201931</v>
      </c>
      <c r="E3958" s="22" t="str">
        <f t="shared" ca="1" si="123"/>
        <v>201908</v>
      </c>
      <c r="F3958" s="22">
        <v>2019</v>
      </c>
    </row>
    <row r="3959" spans="1:6" ht="15.75">
      <c r="A3959" s="22" t="s">
        <v>1442</v>
      </c>
      <c r="B3959" s="23">
        <v>43680</v>
      </c>
      <c r="C3959" s="24">
        <v>39.24</v>
      </c>
      <c r="D3959" s="25" t="str">
        <f t="shared" si="122"/>
        <v>201931</v>
      </c>
      <c r="E3959" s="22" t="str">
        <f t="shared" ca="1" si="123"/>
        <v>201908</v>
      </c>
      <c r="F3959" s="22">
        <v>2019</v>
      </c>
    </row>
    <row r="3960" spans="1:6" ht="15.75">
      <c r="A3960" s="22" t="s">
        <v>1442</v>
      </c>
      <c r="B3960" s="23">
        <v>43680</v>
      </c>
      <c r="C3960" s="24">
        <v>0.91</v>
      </c>
      <c r="D3960" s="25" t="str">
        <f t="shared" si="122"/>
        <v>201931</v>
      </c>
      <c r="E3960" s="22" t="str">
        <f t="shared" ca="1" si="123"/>
        <v>201908</v>
      </c>
      <c r="F3960" s="22">
        <v>2019</v>
      </c>
    </row>
    <row r="3961" spans="1:6" ht="15.75">
      <c r="A3961" s="22" t="s">
        <v>1443</v>
      </c>
      <c r="B3961" s="20">
        <v>43680</v>
      </c>
      <c r="C3961" s="21">
        <v>6.8000001907348597</v>
      </c>
      <c r="D3961" s="25" t="str">
        <f t="shared" si="122"/>
        <v>201931</v>
      </c>
      <c r="E3961" s="22" t="str">
        <f t="shared" ca="1" si="123"/>
        <v>201908</v>
      </c>
      <c r="F3961" s="22">
        <v>2019</v>
      </c>
    </row>
    <row r="3962" spans="1:6" ht="15.75">
      <c r="A3962" s="22" t="s">
        <v>1441</v>
      </c>
      <c r="B3962" s="26">
        <v>43680</v>
      </c>
      <c r="C3962" s="27">
        <v>55.37</v>
      </c>
      <c r="D3962" s="25" t="str">
        <f t="shared" si="122"/>
        <v>201931</v>
      </c>
      <c r="E3962" s="22" t="str">
        <f t="shared" ca="1" si="123"/>
        <v>201908</v>
      </c>
      <c r="F3962" s="22">
        <v>2019</v>
      </c>
    </row>
    <row r="3963" spans="1:6" ht="15.75">
      <c r="A3963" s="22" t="s">
        <v>1442</v>
      </c>
      <c r="B3963" s="23">
        <v>43681</v>
      </c>
      <c r="C3963" s="24">
        <v>70.08</v>
      </c>
      <c r="D3963" s="25" t="str">
        <f t="shared" si="122"/>
        <v>201931</v>
      </c>
      <c r="E3963" s="22" t="str">
        <f t="shared" ca="1" si="123"/>
        <v>201908</v>
      </c>
      <c r="F3963" s="22">
        <v>2019</v>
      </c>
    </row>
    <row r="3964" spans="1:6" ht="15.75">
      <c r="A3964" s="22" t="s">
        <v>1442</v>
      </c>
      <c r="B3964" s="23">
        <v>43681</v>
      </c>
      <c r="C3964" s="24">
        <v>1.25</v>
      </c>
      <c r="D3964" s="25" t="str">
        <f t="shared" si="122"/>
        <v>201931</v>
      </c>
      <c r="E3964" s="22" t="str">
        <f t="shared" ca="1" si="123"/>
        <v>201908</v>
      </c>
      <c r="F3964" s="22">
        <v>2019</v>
      </c>
    </row>
    <row r="3965" spans="1:6" ht="15.75">
      <c r="A3965" s="22" t="s">
        <v>1443</v>
      </c>
      <c r="B3965" s="20">
        <v>43681</v>
      </c>
      <c r="C3965" s="21">
        <v>13.089999929070499</v>
      </c>
      <c r="D3965" s="25" t="str">
        <f t="shared" si="122"/>
        <v>201931</v>
      </c>
      <c r="E3965" s="22" t="str">
        <f t="shared" ca="1" si="123"/>
        <v>201908</v>
      </c>
      <c r="F3965" s="22">
        <v>2019</v>
      </c>
    </row>
    <row r="3966" spans="1:6" ht="15.75">
      <c r="A3966" s="22" t="s">
        <v>1441</v>
      </c>
      <c r="B3966" s="26">
        <v>43681</v>
      </c>
      <c r="C3966" s="27">
        <v>55.44</v>
      </c>
      <c r="D3966" s="25" t="str">
        <f t="shared" si="122"/>
        <v>201931</v>
      </c>
      <c r="E3966" s="22" t="str">
        <f t="shared" ca="1" si="123"/>
        <v>201908</v>
      </c>
      <c r="F3966" s="22">
        <v>2019</v>
      </c>
    </row>
    <row r="3967" spans="1:6" ht="15.75">
      <c r="A3967" s="22" t="s">
        <v>1442</v>
      </c>
      <c r="B3967" s="23">
        <v>43682</v>
      </c>
      <c r="C3967" s="24">
        <v>161.29</v>
      </c>
      <c r="D3967" s="25" t="str">
        <f t="shared" si="122"/>
        <v>201932</v>
      </c>
      <c r="E3967" s="22" t="str">
        <f t="shared" ca="1" si="123"/>
        <v>201908</v>
      </c>
      <c r="F3967" s="22">
        <v>2019</v>
      </c>
    </row>
    <row r="3968" spans="1:6" ht="15.75">
      <c r="A3968" s="22" t="s">
        <v>1442</v>
      </c>
      <c r="B3968" s="23">
        <v>43682</v>
      </c>
      <c r="C3968" s="24">
        <v>0</v>
      </c>
      <c r="D3968" s="25" t="str">
        <f t="shared" si="122"/>
        <v>201932</v>
      </c>
      <c r="E3968" s="22" t="str">
        <f t="shared" ca="1" si="123"/>
        <v>201908</v>
      </c>
      <c r="F3968" s="22">
        <v>2019</v>
      </c>
    </row>
    <row r="3969" spans="1:6" ht="15.75">
      <c r="A3969" s="22" t="s">
        <v>1443</v>
      </c>
      <c r="B3969" s="20">
        <v>43682</v>
      </c>
      <c r="C3969" s="21">
        <v>19.796251294203099</v>
      </c>
      <c r="D3969" s="25" t="str">
        <f t="shared" si="122"/>
        <v>201932</v>
      </c>
      <c r="E3969" s="22" t="str">
        <f t="shared" ca="1" si="123"/>
        <v>201908</v>
      </c>
      <c r="F3969" s="22">
        <v>2019</v>
      </c>
    </row>
    <row r="3970" spans="1:6" ht="15.75">
      <c r="A3970" s="22" t="s">
        <v>1441</v>
      </c>
      <c r="B3970" s="26">
        <v>43682</v>
      </c>
      <c r="C3970" s="27">
        <v>78.89</v>
      </c>
      <c r="D3970" s="25" t="str">
        <f t="shared" si="122"/>
        <v>201932</v>
      </c>
      <c r="E3970" s="22" t="str">
        <f t="shared" ca="1" si="123"/>
        <v>201908</v>
      </c>
      <c r="F3970" s="22">
        <v>2019</v>
      </c>
    </row>
    <row r="3971" spans="1:6" ht="15.75">
      <c r="A3971" s="22" t="s">
        <v>1442</v>
      </c>
      <c r="B3971" s="23">
        <v>43683</v>
      </c>
      <c r="C3971" s="24">
        <v>125.15</v>
      </c>
      <c r="D3971" s="25" t="str">
        <f t="shared" ref="D3971:D4034" si="124">CONCATENATE(YEAR(B3971-WEEKDAY(B3971,3)+3),TEXT(WEEKNUM(B3971,21),"00"))</f>
        <v>201932</v>
      </c>
      <c r="E3971" s="22" t="str">
        <f t="shared" ref="E3971:E4034" ca="1" si="125">IF(
  AND(
    YEAR(B3971)=YEAR(TODAY())-1,
    MONTH(B3971)=MONTH(TODAY()),
    DAY(B3971)&gt;DAY($H$2)
  ),
  0,
  CONCATENATE(YEAR(B3971),TEXT(MONTH(B3971),"00"))
)</f>
        <v>201908</v>
      </c>
      <c r="F3971" s="22">
        <v>2019</v>
      </c>
    </row>
    <row r="3972" spans="1:6" ht="15.75">
      <c r="A3972" s="22" t="s">
        <v>1443</v>
      </c>
      <c r="B3972" s="20">
        <v>43683</v>
      </c>
      <c r="C3972" s="21">
        <v>20.800000175833699</v>
      </c>
      <c r="D3972" s="25" t="str">
        <f t="shared" si="124"/>
        <v>201932</v>
      </c>
      <c r="E3972" s="22" t="str">
        <f t="shared" ca="1" si="125"/>
        <v>201908</v>
      </c>
      <c r="F3972" s="22">
        <v>2019</v>
      </c>
    </row>
    <row r="3973" spans="1:6" ht="15.75">
      <c r="A3973" s="22" t="s">
        <v>1441</v>
      </c>
      <c r="B3973" s="26">
        <v>43683</v>
      </c>
      <c r="C3973" s="27">
        <v>78.12</v>
      </c>
      <c r="D3973" s="25" t="str">
        <f t="shared" si="124"/>
        <v>201932</v>
      </c>
      <c r="E3973" s="22" t="str">
        <f t="shared" ca="1" si="125"/>
        <v>201908</v>
      </c>
      <c r="F3973" s="22">
        <v>2019</v>
      </c>
    </row>
    <row r="3974" spans="1:6" ht="15.75">
      <c r="A3974" s="22" t="s">
        <v>1442</v>
      </c>
      <c r="B3974" s="23">
        <v>43684</v>
      </c>
      <c r="C3974" s="24">
        <v>77.540000000000006</v>
      </c>
      <c r="D3974" s="25" t="str">
        <f t="shared" si="124"/>
        <v>201932</v>
      </c>
      <c r="E3974" s="22" t="str">
        <f t="shared" ca="1" si="125"/>
        <v>201908</v>
      </c>
      <c r="F3974" s="22">
        <v>2019</v>
      </c>
    </row>
    <row r="3975" spans="1:6" ht="15.75">
      <c r="A3975" s="22" t="s">
        <v>1443</v>
      </c>
      <c r="B3975" s="20">
        <v>43684</v>
      </c>
      <c r="C3975" s="21">
        <v>21.200000301003499</v>
      </c>
      <c r="D3975" s="25" t="str">
        <f t="shared" si="124"/>
        <v>201932</v>
      </c>
      <c r="E3975" s="22" t="str">
        <f t="shared" ca="1" si="125"/>
        <v>201908</v>
      </c>
      <c r="F3975" s="22">
        <v>2019</v>
      </c>
    </row>
    <row r="3976" spans="1:6" ht="15.75">
      <c r="A3976" s="22" t="s">
        <v>1441</v>
      </c>
      <c r="B3976" s="26">
        <v>43684</v>
      </c>
      <c r="C3976" s="27">
        <v>78.010000000000005</v>
      </c>
      <c r="D3976" s="25" t="str">
        <f t="shared" si="124"/>
        <v>201932</v>
      </c>
      <c r="E3976" s="22" t="str">
        <f t="shared" ca="1" si="125"/>
        <v>201908</v>
      </c>
      <c r="F3976" s="22">
        <v>2019</v>
      </c>
    </row>
    <row r="3977" spans="1:6" ht="15.75">
      <c r="A3977" s="22" t="s">
        <v>1442</v>
      </c>
      <c r="B3977" s="23">
        <v>43685</v>
      </c>
      <c r="C3977" s="24">
        <v>64.319999999999993</v>
      </c>
      <c r="D3977" s="25" t="str">
        <f t="shared" si="124"/>
        <v>201932</v>
      </c>
      <c r="E3977" s="22" t="str">
        <f t="shared" ca="1" si="125"/>
        <v>201908</v>
      </c>
      <c r="F3977" s="22">
        <v>2019</v>
      </c>
    </row>
    <row r="3978" spans="1:6" ht="15.75">
      <c r="A3978" s="22" t="s">
        <v>1443</v>
      </c>
      <c r="B3978" s="20">
        <v>43685</v>
      </c>
      <c r="C3978" s="21">
        <v>28.000000581145301</v>
      </c>
      <c r="D3978" s="25" t="str">
        <f t="shared" si="124"/>
        <v>201932</v>
      </c>
      <c r="E3978" s="22" t="str">
        <f t="shared" ca="1" si="125"/>
        <v>201908</v>
      </c>
      <c r="F3978" s="22">
        <v>2019</v>
      </c>
    </row>
    <row r="3979" spans="1:6" ht="15.75">
      <c r="A3979" s="22" t="s">
        <v>1441</v>
      </c>
      <c r="B3979" s="26">
        <v>43685</v>
      </c>
      <c r="C3979" s="27">
        <v>77.790000000000006</v>
      </c>
      <c r="D3979" s="25" t="str">
        <f t="shared" si="124"/>
        <v>201932</v>
      </c>
      <c r="E3979" s="22" t="str">
        <f t="shared" ca="1" si="125"/>
        <v>201908</v>
      </c>
      <c r="F3979" s="22">
        <v>2019</v>
      </c>
    </row>
    <row r="3980" spans="1:6" ht="15.75">
      <c r="A3980" s="22" t="s">
        <v>1442</v>
      </c>
      <c r="B3980" s="23">
        <v>43686</v>
      </c>
      <c r="C3980" s="24">
        <v>63.25</v>
      </c>
      <c r="D3980" s="25" t="str">
        <f t="shared" si="124"/>
        <v>201932</v>
      </c>
      <c r="E3980" s="22" t="str">
        <f t="shared" ca="1" si="125"/>
        <v>201908</v>
      </c>
      <c r="F3980" s="22">
        <v>2019</v>
      </c>
    </row>
    <row r="3981" spans="1:6" ht="15.75">
      <c r="A3981" s="22" t="s">
        <v>1443</v>
      </c>
      <c r="B3981" s="20">
        <v>43686</v>
      </c>
      <c r="C3981" s="21">
        <v>25.600000530481299</v>
      </c>
      <c r="D3981" s="25" t="str">
        <f t="shared" si="124"/>
        <v>201932</v>
      </c>
      <c r="E3981" s="22" t="str">
        <f t="shared" ca="1" si="125"/>
        <v>201908</v>
      </c>
      <c r="F3981" s="22">
        <v>2019</v>
      </c>
    </row>
    <row r="3982" spans="1:6" ht="15.75">
      <c r="A3982" s="22" t="s">
        <v>1441</v>
      </c>
      <c r="B3982" s="26">
        <v>43686</v>
      </c>
      <c r="C3982" s="27">
        <v>77.75</v>
      </c>
      <c r="D3982" s="25" t="str">
        <f t="shared" si="124"/>
        <v>201932</v>
      </c>
      <c r="E3982" s="22" t="str">
        <f t="shared" ca="1" si="125"/>
        <v>201908</v>
      </c>
      <c r="F3982" s="22">
        <v>2019</v>
      </c>
    </row>
    <row r="3983" spans="1:6" ht="15.75">
      <c r="A3983" s="22" t="s">
        <v>1442</v>
      </c>
      <c r="B3983" s="23">
        <v>43687</v>
      </c>
      <c r="C3983" s="24">
        <v>49.77</v>
      </c>
      <c r="D3983" s="25" t="str">
        <f t="shared" si="124"/>
        <v>201932</v>
      </c>
      <c r="E3983" s="22" t="str">
        <f t="shared" ca="1" si="125"/>
        <v>201908</v>
      </c>
      <c r="F3983" s="22">
        <v>2019</v>
      </c>
    </row>
    <row r="3984" spans="1:6" ht="15.75">
      <c r="A3984" s="22" t="s">
        <v>1443</v>
      </c>
      <c r="B3984" s="20">
        <v>43687</v>
      </c>
      <c r="C3984" s="21">
        <v>25.8000005483627</v>
      </c>
      <c r="D3984" s="25" t="str">
        <f t="shared" si="124"/>
        <v>201932</v>
      </c>
      <c r="E3984" s="22" t="str">
        <f t="shared" ca="1" si="125"/>
        <v>201908</v>
      </c>
      <c r="F3984" s="22">
        <v>2019</v>
      </c>
    </row>
    <row r="3985" spans="1:6" ht="15.75">
      <c r="A3985" s="22" t="s">
        <v>1441</v>
      </c>
      <c r="B3985" s="26">
        <v>43687</v>
      </c>
      <c r="C3985" s="27">
        <v>77.739999999999995</v>
      </c>
      <c r="D3985" s="25" t="str">
        <f t="shared" si="124"/>
        <v>201932</v>
      </c>
      <c r="E3985" s="22" t="str">
        <f t="shared" ca="1" si="125"/>
        <v>201908</v>
      </c>
      <c r="F3985" s="22">
        <v>2019</v>
      </c>
    </row>
    <row r="3986" spans="1:6" ht="15.75">
      <c r="A3986" s="22" t="s">
        <v>1442</v>
      </c>
      <c r="B3986" s="23">
        <v>43688</v>
      </c>
      <c r="C3986" s="24">
        <v>41.83</v>
      </c>
      <c r="D3986" s="25" t="str">
        <f t="shared" si="124"/>
        <v>201932</v>
      </c>
      <c r="E3986" s="22" t="str">
        <f t="shared" ca="1" si="125"/>
        <v>201908</v>
      </c>
      <c r="F3986" s="22">
        <v>2019</v>
      </c>
    </row>
    <row r="3987" spans="1:6" ht="15.75">
      <c r="A3987" s="22" t="s">
        <v>1443</v>
      </c>
      <c r="B3987" s="20">
        <v>43688</v>
      </c>
      <c r="C3987" s="21">
        <v>20.400000393390702</v>
      </c>
      <c r="D3987" s="25" t="str">
        <f t="shared" si="124"/>
        <v>201932</v>
      </c>
      <c r="E3987" s="22" t="str">
        <f t="shared" ca="1" si="125"/>
        <v>201908</v>
      </c>
      <c r="F3987" s="22">
        <v>2019</v>
      </c>
    </row>
    <row r="3988" spans="1:6" ht="15.75">
      <c r="A3988" s="22" t="s">
        <v>1441</v>
      </c>
      <c r="B3988" s="26">
        <v>43688</v>
      </c>
      <c r="C3988" s="27">
        <v>74.61</v>
      </c>
      <c r="D3988" s="25" t="str">
        <f t="shared" si="124"/>
        <v>201932</v>
      </c>
      <c r="E3988" s="22" t="str">
        <f t="shared" ca="1" si="125"/>
        <v>201908</v>
      </c>
      <c r="F3988" s="22">
        <v>2019</v>
      </c>
    </row>
    <row r="3989" spans="1:6" ht="15.75">
      <c r="A3989" s="22" t="s">
        <v>1442</v>
      </c>
      <c r="B3989" s="23">
        <v>43689</v>
      </c>
      <c r="C3989" s="24">
        <v>46.48</v>
      </c>
      <c r="D3989" s="25" t="str">
        <f t="shared" si="124"/>
        <v>201933</v>
      </c>
      <c r="E3989" s="22" t="str">
        <f t="shared" ca="1" si="125"/>
        <v>201908</v>
      </c>
      <c r="F3989" s="22">
        <v>2019</v>
      </c>
    </row>
    <row r="3990" spans="1:6" ht="15.75">
      <c r="A3990" s="22" t="s">
        <v>1443</v>
      </c>
      <c r="B3990" s="20">
        <v>43689</v>
      </c>
      <c r="C3990" s="21">
        <v>20.588738236576301</v>
      </c>
      <c r="D3990" s="25" t="str">
        <f t="shared" si="124"/>
        <v>201933</v>
      </c>
      <c r="E3990" s="22" t="str">
        <f t="shared" ca="1" si="125"/>
        <v>201908</v>
      </c>
      <c r="F3990" s="22">
        <v>2019</v>
      </c>
    </row>
    <row r="3991" spans="1:6" ht="15.75">
      <c r="A3991" s="22" t="s">
        <v>1441</v>
      </c>
      <c r="B3991" s="26">
        <v>43689</v>
      </c>
      <c r="C3991" s="27">
        <v>75.39</v>
      </c>
      <c r="D3991" s="25" t="str">
        <f t="shared" si="124"/>
        <v>201933</v>
      </c>
      <c r="E3991" s="22" t="str">
        <f t="shared" ca="1" si="125"/>
        <v>201908</v>
      </c>
      <c r="F3991" s="22">
        <v>2019</v>
      </c>
    </row>
    <row r="3992" spans="1:6" ht="15.75">
      <c r="A3992" s="22" t="s">
        <v>1442</v>
      </c>
      <c r="B3992" s="23">
        <v>43690</v>
      </c>
      <c r="C3992" s="24">
        <v>33.700000000000003</v>
      </c>
      <c r="D3992" s="25" t="str">
        <f t="shared" si="124"/>
        <v>201933</v>
      </c>
      <c r="E3992" s="22" t="str">
        <f t="shared" ca="1" si="125"/>
        <v>201908</v>
      </c>
      <c r="F3992" s="22">
        <v>2019</v>
      </c>
    </row>
    <row r="3993" spans="1:6" ht="15.75">
      <c r="A3993" s="22" t="s">
        <v>1443</v>
      </c>
      <c r="B3993" s="20">
        <v>43690</v>
      </c>
      <c r="C3993" s="21">
        <v>25.200000286102298</v>
      </c>
      <c r="D3993" s="25" t="str">
        <f t="shared" si="124"/>
        <v>201933</v>
      </c>
      <c r="E3993" s="22" t="str">
        <f t="shared" ca="1" si="125"/>
        <v>201908</v>
      </c>
      <c r="F3993" s="22">
        <v>2019</v>
      </c>
    </row>
    <row r="3994" spans="1:6" ht="15.75">
      <c r="A3994" s="22" t="s">
        <v>1441</v>
      </c>
      <c r="B3994" s="26">
        <v>43690</v>
      </c>
      <c r="C3994" s="27">
        <v>75.010000000000005</v>
      </c>
      <c r="D3994" s="25" t="str">
        <f t="shared" si="124"/>
        <v>201933</v>
      </c>
      <c r="E3994" s="22" t="str">
        <f t="shared" ca="1" si="125"/>
        <v>201908</v>
      </c>
      <c r="F3994" s="22">
        <v>2019</v>
      </c>
    </row>
    <row r="3995" spans="1:6" ht="15.75">
      <c r="A3995" s="22" t="s">
        <v>1442</v>
      </c>
      <c r="B3995" s="23">
        <v>43691</v>
      </c>
      <c r="C3995" s="24">
        <v>50.03</v>
      </c>
      <c r="D3995" s="25" t="str">
        <f t="shared" si="124"/>
        <v>201933</v>
      </c>
      <c r="E3995" s="22" t="str">
        <f t="shared" ca="1" si="125"/>
        <v>201908</v>
      </c>
      <c r="F3995" s="22">
        <v>2019</v>
      </c>
    </row>
    <row r="3996" spans="1:6" ht="15.75">
      <c r="A3996" s="22" t="s">
        <v>1443</v>
      </c>
      <c r="B3996" s="20">
        <v>43691</v>
      </c>
      <c r="C3996" s="21">
        <v>24.400000289082499</v>
      </c>
      <c r="D3996" s="25" t="str">
        <f t="shared" si="124"/>
        <v>201933</v>
      </c>
      <c r="E3996" s="22" t="str">
        <f t="shared" ca="1" si="125"/>
        <v>201908</v>
      </c>
      <c r="F3996" s="22">
        <v>2019</v>
      </c>
    </row>
    <row r="3997" spans="1:6" ht="15.75">
      <c r="A3997" s="22" t="s">
        <v>1441</v>
      </c>
      <c r="B3997" s="26">
        <v>43691</v>
      </c>
      <c r="C3997" s="27">
        <v>75.63</v>
      </c>
      <c r="D3997" s="25" t="str">
        <f t="shared" si="124"/>
        <v>201933</v>
      </c>
      <c r="E3997" s="22" t="str">
        <f t="shared" ca="1" si="125"/>
        <v>201908</v>
      </c>
      <c r="F3997" s="22">
        <v>2019</v>
      </c>
    </row>
    <row r="3998" spans="1:6" ht="15.75">
      <c r="A3998" s="22" t="s">
        <v>1442</v>
      </c>
      <c r="B3998" s="23">
        <v>43692</v>
      </c>
      <c r="C3998" s="24">
        <v>37.049999999999997</v>
      </c>
      <c r="D3998" s="25" t="str">
        <f t="shared" si="124"/>
        <v>201933</v>
      </c>
      <c r="E3998" s="22" t="str">
        <f t="shared" ca="1" si="125"/>
        <v>201908</v>
      </c>
      <c r="F3998" s="22">
        <v>2019</v>
      </c>
    </row>
    <row r="3999" spans="1:6" ht="15.75">
      <c r="A3999" s="22" t="s">
        <v>1443</v>
      </c>
      <c r="B3999" s="20">
        <v>43692</v>
      </c>
      <c r="C3999" s="21">
        <v>17.800000295042999</v>
      </c>
      <c r="D3999" s="25" t="str">
        <f t="shared" si="124"/>
        <v>201933</v>
      </c>
      <c r="E3999" s="22" t="str">
        <f t="shared" ca="1" si="125"/>
        <v>201908</v>
      </c>
      <c r="F3999" s="22">
        <v>2019</v>
      </c>
    </row>
    <row r="4000" spans="1:6" ht="15.75">
      <c r="A4000" s="22" t="s">
        <v>1441</v>
      </c>
      <c r="B4000" s="26">
        <v>43692</v>
      </c>
      <c r="C4000" s="27">
        <v>75.06</v>
      </c>
      <c r="D4000" s="25" t="str">
        <f t="shared" si="124"/>
        <v>201933</v>
      </c>
      <c r="E4000" s="22" t="str">
        <f t="shared" ca="1" si="125"/>
        <v>201908</v>
      </c>
      <c r="F4000" s="22">
        <v>2019</v>
      </c>
    </row>
    <row r="4001" spans="1:6" ht="15.75">
      <c r="A4001" s="22" t="s">
        <v>1442</v>
      </c>
      <c r="B4001" s="23">
        <v>43693</v>
      </c>
      <c r="C4001" s="24">
        <v>35.58</v>
      </c>
      <c r="D4001" s="25" t="str">
        <f t="shared" si="124"/>
        <v>201933</v>
      </c>
      <c r="E4001" s="22" t="str">
        <f t="shared" ca="1" si="125"/>
        <v>201908</v>
      </c>
      <c r="F4001" s="22">
        <v>2019</v>
      </c>
    </row>
    <row r="4002" spans="1:6" ht="15.75">
      <c r="A4002" s="22" t="s">
        <v>1443</v>
      </c>
      <c r="B4002" s="20">
        <v>43693</v>
      </c>
      <c r="C4002" s="21">
        <v>19.399999842047698</v>
      </c>
      <c r="D4002" s="25" t="str">
        <f t="shared" si="124"/>
        <v>201933</v>
      </c>
      <c r="E4002" s="22" t="str">
        <f t="shared" ca="1" si="125"/>
        <v>201908</v>
      </c>
      <c r="F4002" s="22">
        <v>2019</v>
      </c>
    </row>
    <row r="4003" spans="1:6" ht="15.75">
      <c r="A4003" s="22" t="s">
        <v>1441</v>
      </c>
      <c r="B4003" s="26">
        <v>43693</v>
      </c>
      <c r="C4003" s="27">
        <v>75.14</v>
      </c>
      <c r="D4003" s="25" t="str">
        <f t="shared" si="124"/>
        <v>201933</v>
      </c>
      <c r="E4003" s="22" t="str">
        <f t="shared" ca="1" si="125"/>
        <v>201908</v>
      </c>
      <c r="F4003" s="22">
        <v>2019</v>
      </c>
    </row>
    <row r="4004" spans="1:6" ht="15.75">
      <c r="A4004" s="22" t="s">
        <v>1442</v>
      </c>
      <c r="B4004" s="23">
        <v>43694</v>
      </c>
      <c r="C4004" s="24">
        <v>34.11</v>
      </c>
      <c r="D4004" s="25" t="str">
        <f t="shared" si="124"/>
        <v>201933</v>
      </c>
      <c r="E4004" s="22" t="str">
        <f t="shared" ca="1" si="125"/>
        <v>201908</v>
      </c>
      <c r="F4004" s="22">
        <v>2019</v>
      </c>
    </row>
    <row r="4005" spans="1:6" ht="15.75">
      <c r="A4005" s="22" t="s">
        <v>1443</v>
      </c>
      <c r="B4005" s="20">
        <v>43694</v>
      </c>
      <c r="C4005" s="21">
        <v>18.000000059604599</v>
      </c>
      <c r="D4005" s="25" t="str">
        <f t="shared" si="124"/>
        <v>201933</v>
      </c>
      <c r="E4005" s="22" t="str">
        <f t="shared" ca="1" si="125"/>
        <v>201908</v>
      </c>
      <c r="F4005" s="22">
        <v>2019</v>
      </c>
    </row>
    <row r="4006" spans="1:6" ht="15.75">
      <c r="A4006" s="22" t="s">
        <v>1441</v>
      </c>
      <c r="B4006" s="26">
        <v>43694</v>
      </c>
      <c r="C4006" s="27">
        <v>74.16</v>
      </c>
      <c r="D4006" s="25" t="str">
        <f t="shared" si="124"/>
        <v>201933</v>
      </c>
      <c r="E4006" s="22" t="str">
        <f t="shared" ca="1" si="125"/>
        <v>201908</v>
      </c>
      <c r="F4006" s="22">
        <v>2019</v>
      </c>
    </row>
    <row r="4007" spans="1:6" ht="15.75">
      <c r="A4007" s="22" t="s">
        <v>1442</v>
      </c>
      <c r="B4007" s="23">
        <v>43695</v>
      </c>
      <c r="C4007" s="24">
        <v>42.29</v>
      </c>
      <c r="D4007" s="25" t="str">
        <f t="shared" si="124"/>
        <v>201933</v>
      </c>
      <c r="E4007" s="22" t="str">
        <f t="shared" ca="1" si="125"/>
        <v>201908</v>
      </c>
      <c r="F4007" s="22">
        <v>2019</v>
      </c>
    </row>
    <row r="4008" spans="1:6" ht="15.75">
      <c r="A4008" s="22" t="s">
        <v>1443</v>
      </c>
      <c r="B4008" s="20">
        <v>43695</v>
      </c>
      <c r="C4008" s="21">
        <v>26.800000652670899</v>
      </c>
      <c r="D4008" s="25" t="str">
        <f t="shared" si="124"/>
        <v>201933</v>
      </c>
      <c r="E4008" s="22" t="str">
        <f t="shared" ca="1" si="125"/>
        <v>201908</v>
      </c>
      <c r="F4008" s="22">
        <v>2019</v>
      </c>
    </row>
    <row r="4009" spans="1:6" ht="15.75">
      <c r="A4009" s="22" t="s">
        <v>1441</v>
      </c>
      <c r="B4009" s="26">
        <v>43695</v>
      </c>
      <c r="C4009" s="27">
        <v>75.599999999999994</v>
      </c>
      <c r="D4009" s="25" t="str">
        <f t="shared" si="124"/>
        <v>201933</v>
      </c>
      <c r="E4009" s="22" t="str">
        <f t="shared" ca="1" si="125"/>
        <v>201908</v>
      </c>
      <c r="F4009" s="22">
        <v>2019</v>
      </c>
    </row>
    <row r="4010" spans="1:6" ht="15.75">
      <c r="A4010" s="22" t="s">
        <v>1442</v>
      </c>
      <c r="B4010" s="23">
        <v>43696</v>
      </c>
      <c r="C4010" s="24">
        <v>41.86</v>
      </c>
      <c r="D4010" s="25" t="str">
        <f t="shared" si="124"/>
        <v>201934</v>
      </c>
      <c r="E4010" s="22" t="str">
        <f t="shared" ca="1" si="125"/>
        <v>201908</v>
      </c>
      <c r="F4010" s="22">
        <v>2019</v>
      </c>
    </row>
    <row r="4011" spans="1:6" ht="15.75">
      <c r="A4011" s="22" t="s">
        <v>1443</v>
      </c>
      <c r="B4011" s="20">
        <v>43696</v>
      </c>
      <c r="C4011" s="21">
        <v>30.2617209292948</v>
      </c>
      <c r="D4011" s="25" t="str">
        <f t="shared" si="124"/>
        <v>201934</v>
      </c>
      <c r="E4011" s="22" t="str">
        <f t="shared" ca="1" si="125"/>
        <v>201908</v>
      </c>
      <c r="F4011" s="22">
        <v>2019</v>
      </c>
    </row>
    <row r="4012" spans="1:6" ht="15.75">
      <c r="A4012" s="22" t="s">
        <v>1441</v>
      </c>
      <c r="B4012" s="26">
        <v>43696</v>
      </c>
      <c r="C4012" s="27">
        <v>75.599999999999994</v>
      </c>
      <c r="D4012" s="25" t="str">
        <f t="shared" si="124"/>
        <v>201934</v>
      </c>
      <c r="E4012" s="22" t="str">
        <f t="shared" ca="1" si="125"/>
        <v>201908</v>
      </c>
      <c r="F4012" s="22">
        <v>2019</v>
      </c>
    </row>
    <row r="4013" spans="1:6" ht="15.75">
      <c r="A4013" s="22" t="s">
        <v>1442</v>
      </c>
      <c r="B4013" s="23">
        <v>43697</v>
      </c>
      <c r="C4013" s="24">
        <v>31.51</v>
      </c>
      <c r="D4013" s="25" t="str">
        <f t="shared" si="124"/>
        <v>201934</v>
      </c>
      <c r="E4013" s="22" t="str">
        <f t="shared" ca="1" si="125"/>
        <v>201908</v>
      </c>
      <c r="F4013" s="22">
        <v>2019</v>
      </c>
    </row>
    <row r="4014" spans="1:6" ht="15.75">
      <c r="A4014" s="22" t="s">
        <v>1443</v>
      </c>
      <c r="B4014" s="20">
        <v>43697</v>
      </c>
      <c r="C4014" s="21">
        <v>29.800000295042999</v>
      </c>
      <c r="D4014" s="25" t="str">
        <f t="shared" si="124"/>
        <v>201934</v>
      </c>
      <c r="E4014" s="22" t="str">
        <f t="shared" ca="1" si="125"/>
        <v>201908</v>
      </c>
      <c r="F4014" s="22">
        <v>2019</v>
      </c>
    </row>
    <row r="4015" spans="1:6" ht="15.75">
      <c r="A4015" s="22" t="s">
        <v>1441</v>
      </c>
      <c r="B4015" s="26">
        <v>43697</v>
      </c>
      <c r="C4015" s="27">
        <v>75.3</v>
      </c>
      <c r="D4015" s="25" t="str">
        <f t="shared" si="124"/>
        <v>201934</v>
      </c>
      <c r="E4015" s="22" t="str">
        <f t="shared" ca="1" si="125"/>
        <v>201908</v>
      </c>
      <c r="F4015" s="22">
        <v>2019</v>
      </c>
    </row>
    <row r="4016" spans="1:6" ht="15.75">
      <c r="A4016" s="22" t="s">
        <v>1442</v>
      </c>
      <c r="B4016" s="23">
        <v>43698</v>
      </c>
      <c r="C4016" s="24">
        <v>48.55</v>
      </c>
      <c r="D4016" s="25" t="str">
        <f t="shared" si="124"/>
        <v>201934</v>
      </c>
      <c r="E4016" s="22" t="str">
        <f t="shared" ca="1" si="125"/>
        <v>201908</v>
      </c>
      <c r="F4016" s="22">
        <v>2019</v>
      </c>
    </row>
    <row r="4017" spans="1:6" ht="15.75">
      <c r="A4017" s="22" t="s">
        <v>1443</v>
      </c>
      <c r="B4017" s="20">
        <v>43698</v>
      </c>
      <c r="C4017" s="21">
        <v>33.000000670552303</v>
      </c>
      <c r="D4017" s="25" t="str">
        <f t="shared" si="124"/>
        <v>201934</v>
      </c>
      <c r="E4017" s="22" t="str">
        <f t="shared" ca="1" si="125"/>
        <v>201908</v>
      </c>
      <c r="F4017" s="22">
        <v>2019</v>
      </c>
    </row>
    <row r="4018" spans="1:6" ht="15.75">
      <c r="A4018" s="22" t="s">
        <v>1441</v>
      </c>
      <c r="B4018" s="26">
        <v>43698</v>
      </c>
      <c r="C4018" s="27">
        <v>65.77</v>
      </c>
      <c r="D4018" s="25" t="str">
        <f t="shared" si="124"/>
        <v>201934</v>
      </c>
      <c r="E4018" s="22" t="str">
        <f t="shared" ca="1" si="125"/>
        <v>201908</v>
      </c>
      <c r="F4018" s="22">
        <v>2019</v>
      </c>
    </row>
    <row r="4019" spans="1:6" ht="15.75">
      <c r="A4019" s="22" t="s">
        <v>1442</v>
      </c>
      <c r="B4019" s="23">
        <v>43699</v>
      </c>
      <c r="C4019" s="24">
        <v>41.9</v>
      </c>
      <c r="D4019" s="25" t="str">
        <f t="shared" si="124"/>
        <v>201934</v>
      </c>
      <c r="E4019" s="22" t="str">
        <f t="shared" ca="1" si="125"/>
        <v>201908</v>
      </c>
      <c r="F4019" s="22">
        <v>2019</v>
      </c>
    </row>
    <row r="4020" spans="1:6" ht="15.75">
      <c r="A4020" s="22" t="s">
        <v>1443</v>
      </c>
      <c r="B4020" s="20">
        <v>43699</v>
      </c>
      <c r="C4020" s="21">
        <v>28.200001344084701</v>
      </c>
      <c r="D4020" s="25" t="str">
        <f t="shared" si="124"/>
        <v>201934</v>
      </c>
      <c r="E4020" s="22" t="str">
        <f t="shared" ca="1" si="125"/>
        <v>201908</v>
      </c>
      <c r="F4020" s="22">
        <v>2019</v>
      </c>
    </row>
    <row r="4021" spans="1:6" ht="15.75">
      <c r="A4021" s="22" t="s">
        <v>1441</v>
      </c>
      <c r="B4021" s="26">
        <v>43699</v>
      </c>
      <c r="C4021" s="27">
        <v>55.18</v>
      </c>
      <c r="D4021" s="25" t="str">
        <f t="shared" si="124"/>
        <v>201934</v>
      </c>
      <c r="E4021" s="22" t="str">
        <f t="shared" ca="1" si="125"/>
        <v>201908</v>
      </c>
      <c r="F4021" s="22">
        <v>2019</v>
      </c>
    </row>
    <row r="4022" spans="1:6" ht="15.75">
      <c r="A4022" s="22" t="s">
        <v>1442</v>
      </c>
      <c r="B4022" s="23">
        <v>43700</v>
      </c>
      <c r="C4022" s="24">
        <v>30.33</v>
      </c>
      <c r="D4022" s="25" t="str">
        <f t="shared" si="124"/>
        <v>201934</v>
      </c>
      <c r="E4022" s="22" t="str">
        <f t="shared" ca="1" si="125"/>
        <v>201908</v>
      </c>
      <c r="F4022" s="22">
        <v>2019</v>
      </c>
    </row>
    <row r="4023" spans="1:6" ht="15.75">
      <c r="A4023" s="22" t="s">
        <v>1443</v>
      </c>
      <c r="B4023" s="20">
        <v>43700</v>
      </c>
      <c r="C4023" s="21">
        <v>24.800000846385998</v>
      </c>
      <c r="D4023" s="25" t="str">
        <f t="shared" si="124"/>
        <v>201934</v>
      </c>
      <c r="E4023" s="22" t="str">
        <f t="shared" ca="1" si="125"/>
        <v>201908</v>
      </c>
      <c r="F4023" s="22">
        <v>2019</v>
      </c>
    </row>
    <row r="4024" spans="1:6" ht="15.75">
      <c r="A4024" s="22" t="s">
        <v>1441</v>
      </c>
      <c r="B4024" s="26">
        <v>43700</v>
      </c>
      <c r="C4024" s="27">
        <v>54.63</v>
      </c>
      <c r="D4024" s="25" t="str">
        <f t="shared" si="124"/>
        <v>201934</v>
      </c>
      <c r="E4024" s="22" t="str">
        <f t="shared" ca="1" si="125"/>
        <v>201908</v>
      </c>
      <c r="F4024" s="22">
        <v>2019</v>
      </c>
    </row>
    <row r="4025" spans="1:6" ht="15.75">
      <c r="A4025" s="22" t="s">
        <v>1442</v>
      </c>
      <c r="B4025" s="23">
        <v>43701</v>
      </c>
      <c r="C4025" s="24">
        <v>22.58</v>
      </c>
      <c r="D4025" s="25" t="str">
        <f t="shared" si="124"/>
        <v>201934</v>
      </c>
      <c r="E4025" s="22" t="str">
        <f t="shared" ca="1" si="125"/>
        <v>201908</v>
      </c>
      <c r="F4025" s="22">
        <v>2019</v>
      </c>
    </row>
    <row r="4026" spans="1:6" ht="15.75">
      <c r="A4026" s="22" t="s">
        <v>1443</v>
      </c>
      <c r="B4026" s="20">
        <v>43701</v>
      </c>
      <c r="C4026" s="21">
        <v>30.400000631809199</v>
      </c>
      <c r="D4026" s="25" t="str">
        <f t="shared" si="124"/>
        <v>201934</v>
      </c>
      <c r="E4026" s="22" t="str">
        <f t="shared" ca="1" si="125"/>
        <v>201908</v>
      </c>
      <c r="F4026" s="22">
        <v>2019</v>
      </c>
    </row>
    <row r="4027" spans="1:6" ht="15.75">
      <c r="A4027" s="22" t="s">
        <v>1441</v>
      </c>
      <c r="B4027" s="26">
        <v>43701</v>
      </c>
      <c r="C4027" s="27">
        <v>54.18</v>
      </c>
      <c r="D4027" s="25" t="str">
        <f t="shared" si="124"/>
        <v>201934</v>
      </c>
      <c r="E4027" s="22" t="str">
        <f t="shared" ca="1" si="125"/>
        <v>201908</v>
      </c>
      <c r="F4027" s="22">
        <v>2019</v>
      </c>
    </row>
    <row r="4028" spans="1:6" ht="15.75">
      <c r="A4028" s="22" t="s">
        <v>1442</v>
      </c>
      <c r="B4028" s="23">
        <v>43702</v>
      </c>
      <c r="C4028" s="24">
        <v>21.75</v>
      </c>
      <c r="D4028" s="25" t="str">
        <f t="shared" si="124"/>
        <v>201934</v>
      </c>
      <c r="E4028" s="22" t="str">
        <f t="shared" ca="1" si="125"/>
        <v>201908</v>
      </c>
      <c r="F4028" s="22">
        <v>2019</v>
      </c>
    </row>
    <row r="4029" spans="1:6" ht="15.75">
      <c r="A4029" s="22" t="s">
        <v>1443</v>
      </c>
      <c r="B4029" s="20">
        <v>43702</v>
      </c>
      <c r="C4029" s="21">
        <v>32.0000001043081</v>
      </c>
      <c r="D4029" s="25" t="str">
        <f t="shared" si="124"/>
        <v>201934</v>
      </c>
      <c r="E4029" s="22" t="str">
        <f t="shared" ca="1" si="125"/>
        <v>201908</v>
      </c>
      <c r="F4029" s="22">
        <v>2019</v>
      </c>
    </row>
    <row r="4030" spans="1:6" ht="15.75">
      <c r="A4030" s="22" t="s">
        <v>1441</v>
      </c>
      <c r="B4030" s="26">
        <v>43702</v>
      </c>
      <c r="C4030" s="27">
        <v>55.34</v>
      </c>
      <c r="D4030" s="25" t="str">
        <f t="shared" si="124"/>
        <v>201934</v>
      </c>
      <c r="E4030" s="22" t="str">
        <f t="shared" ca="1" si="125"/>
        <v>201908</v>
      </c>
      <c r="F4030" s="22">
        <v>2019</v>
      </c>
    </row>
    <row r="4031" spans="1:6" ht="15.75">
      <c r="A4031" s="22" t="s">
        <v>1442</v>
      </c>
      <c r="B4031" s="23">
        <v>43703</v>
      </c>
      <c r="C4031" s="24">
        <v>51.2</v>
      </c>
      <c r="D4031" s="25" t="str">
        <f t="shared" si="124"/>
        <v>201935</v>
      </c>
      <c r="E4031" s="22" t="str">
        <f t="shared" ca="1" si="125"/>
        <v>201908</v>
      </c>
      <c r="F4031" s="22">
        <v>2019</v>
      </c>
    </row>
    <row r="4032" spans="1:6" ht="15.75">
      <c r="A4032" s="22" t="s">
        <v>1443</v>
      </c>
      <c r="B4032" s="20">
        <v>43703</v>
      </c>
      <c r="C4032" s="21">
        <v>47.080885857343702</v>
      </c>
      <c r="D4032" s="25" t="str">
        <f t="shared" si="124"/>
        <v>201935</v>
      </c>
      <c r="E4032" s="22" t="str">
        <f t="shared" ca="1" si="125"/>
        <v>201908</v>
      </c>
      <c r="F4032" s="22">
        <v>2019</v>
      </c>
    </row>
    <row r="4033" spans="1:6" ht="15.75">
      <c r="A4033" s="22" t="s">
        <v>1441</v>
      </c>
      <c r="B4033" s="26">
        <v>43703</v>
      </c>
      <c r="C4033" s="27">
        <v>55.42</v>
      </c>
      <c r="D4033" s="25" t="str">
        <f t="shared" si="124"/>
        <v>201935</v>
      </c>
      <c r="E4033" s="22" t="str">
        <f t="shared" ca="1" si="125"/>
        <v>201908</v>
      </c>
      <c r="F4033" s="22">
        <v>2019</v>
      </c>
    </row>
    <row r="4034" spans="1:6" ht="15.75">
      <c r="A4034" s="22" t="s">
        <v>1442</v>
      </c>
      <c r="B4034" s="23">
        <v>43704</v>
      </c>
      <c r="C4034" s="24">
        <v>34.47</v>
      </c>
      <c r="D4034" s="25" t="str">
        <f t="shared" si="124"/>
        <v>201935</v>
      </c>
      <c r="E4034" s="22" t="str">
        <f t="shared" ca="1" si="125"/>
        <v>201908</v>
      </c>
      <c r="F4034" s="22">
        <v>2019</v>
      </c>
    </row>
    <row r="4035" spans="1:6" ht="15.75">
      <c r="A4035" s="22" t="s">
        <v>1443</v>
      </c>
      <c r="B4035" s="20">
        <v>43704</v>
      </c>
      <c r="C4035" s="21">
        <v>54.186863865703302</v>
      </c>
      <c r="D4035" s="25" t="str">
        <f t="shared" ref="D4035:D4093" si="126">CONCATENATE(YEAR(B4035-WEEKDAY(B4035,3)+3),TEXT(WEEKNUM(B4035,21),"00"))</f>
        <v>201935</v>
      </c>
      <c r="E4035" s="22" t="str">
        <f t="shared" ref="E4035:E4093" ca="1" si="127">IF(
  AND(
    YEAR(B4035)=YEAR(TODAY())-1,
    MONTH(B4035)=MONTH(TODAY()),
    DAY(B4035)&gt;DAY($H$2)
  ),
  0,
  CONCATENATE(YEAR(B4035),TEXT(MONTH(B4035),"00"))
)</f>
        <v>201908</v>
      </c>
      <c r="F4035" s="22">
        <v>2019</v>
      </c>
    </row>
    <row r="4036" spans="1:6" ht="15.75">
      <c r="A4036" s="22" t="s">
        <v>1441</v>
      </c>
      <c r="B4036" s="26">
        <v>43704</v>
      </c>
      <c r="C4036" s="27">
        <v>55.25</v>
      </c>
      <c r="D4036" s="25" t="str">
        <f t="shared" si="126"/>
        <v>201935</v>
      </c>
      <c r="E4036" s="22" t="str">
        <f t="shared" ca="1" si="127"/>
        <v>201908</v>
      </c>
      <c r="F4036" s="22">
        <v>2019</v>
      </c>
    </row>
    <row r="4037" spans="1:6" ht="15.75">
      <c r="A4037" s="22" t="s">
        <v>1442</v>
      </c>
      <c r="B4037" s="23">
        <v>43705</v>
      </c>
      <c r="C4037" s="24">
        <v>41.78</v>
      </c>
      <c r="D4037" s="25" t="str">
        <f t="shared" si="126"/>
        <v>201935</v>
      </c>
      <c r="E4037" s="22" t="str">
        <f t="shared" ca="1" si="127"/>
        <v>201908</v>
      </c>
      <c r="F4037" s="22">
        <v>2019</v>
      </c>
    </row>
    <row r="4038" spans="1:6" ht="15.75">
      <c r="A4038" s="22" t="s">
        <v>1443</v>
      </c>
      <c r="B4038" s="20">
        <v>43705</v>
      </c>
      <c r="C4038" s="21">
        <v>48.600000411271999</v>
      </c>
      <c r="D4038" s="25" t="str">
        <f t="shared" si="126"/>
        <v>201935</v>
      </c>
      <c r="E4038" s="22" t="str">
        <f t="shared" ca="1" si="127"/>
        <v>201908</v>
      </c>
      <c r="F4038" s="22">
        <v>2019</v>
      </c>
    </row>
    <row r="4039" spans="1:6" ht="15.75">
      <c r="A4039" s="22" t="s">
        <v>1441</v>
      </c>
      <c r="B4039" s="26">
        <v>43705</v>
      </c>
      <c r="C4039" s="27">
        <v>28.19</v>
      </c>
      <c r="D4039" s="25" t="str">
        <f t="shared" si="126"/>
        <v>201935</v>
      </c>
      <c r="E4039" s="22" t="str">
        <f t="shared" ca="1" si="127"/>
        <v>201908</v>
      </c>
      <c r="F4039" s="22">
        <v>2019</v>
      </c>
    </row>
    <row r="4040" spans="1:6" ht="15.75">
      <c r="A4040" s="22" t="s">
        <v>1442</v>
      </c>
      <c r="B4040" s="23">
        <v>43706</v>
      </c>
      <c r="C4040" s="24">
        <v>38.89</v>
      </c>
      <c r="D4040" s="25" t="str">
        <f t="shared" si="126"/>
        <v>201935</v>
      </c>
      <c r="E4040" s="22" t="str">
        <f t="shared" ca="1" si="127"/>
        <v>201908</v>
      </c>
      <c r="F4040" s="22">
        <v>2019</v>
      </c>
    </row>
    <row r="4041" spans="1:6" ht="15.75">
      <c r="A4041" s="22" t="s">
        <v>1443</v>
      </c>
      <c r="B4041" s="20">
        <v>43706</v>
      </c>
      <c r="C4041" s="21">
        <v>45.400001525878899</v>
      </c>
      <c r="D4041" s="25" t="str">
        <f t="shared" si="126"/>
        <v>201935</v>
      </c>
      <c r="E4041" s="22" t="str">
        <f t="shared" ca="1" si="127"/>
        <v>201908</v>
      </c>
      <c r="F4041" s="22">
        <v>2019</v>
      </c>
    </row>
    <row r="4042" spans="1:6" ht="15.75">
      <c r="A4042" s="22" t="s">
        <v>1441</v>
      </c>
      <c r="B4042" s="26">
        <v>43706</v>
      </c>
      <c r="C4042" s="27">
        <v>20.11</v>
      </c>
      <c r="D4042" s="25" t="str">
        <f t="shared" si="126"/>
        <v>201935</v>
      </c>
      <c r="E4042" s="22" t="str">
        <f t="shared" ca="1" si="127"/>
        <v>201908</v>
      </c>
      <c r="F4042" s="22">
        <v>2019</v>
      </c>
    </row>
    <row r="4043" spans="1:6" ht="15.75">
      <c r="A4043" s="22" t="s">
        <v>1442</v>
      </c>
      <c r="B4043" s="23">
        <v>43707</v>
      </c>
      <c r="C4043" s="24">
        <v>44.55</v>
      </c>
      <c r="D4043" s="25" t="str">
        <f t="shared" si="126"/>
        <v>201935</v>
      </c>
      <c r="E4043" s="22" t="str">
        <f t="shared" ca="1" si="127"/>
        <v>201908</v>
      </c>
      <c r="F4043" s="22">
        <v>2019</v>
      </c>
    </row>
    <row r="4044" spans="1:6" ht="15.75">
      <c r="A4044" s="22" t="s">
        <v>1443</v>
      </c>
      <c r="B4044" s="20">
        <v>43707</v>
      </c>
      <c r="C4044" s="21">
        <v>39.400001674890497</v>
      </c>
      <c r="D4044" s="25" t="str">
        <f t="shared" si="126"/>
        <v>201935</v>
      </c>
      <c r="E4044" s="22" t="str">
        <f t="shared" ca="1" si="127"/>
        <v>201908</v>
      </c>
      <c r="F4044" s="22">
        <v>2019</v>
      </c>
    </row>
    <row r="4045" spans="1:6" ht="15.75">
      <c r="A4045" s="22" t="s">
        <v>1441</v>
      </c>
      <c r="B4045" s="26">
        <v>43707</v>
      </c>
      <c r="C4045" s="27">
        <v>19.77</v>
      </c>
      <c r="D4045" s="25" t="str">
        <f t="shared" si="126"/>
        <v>201935</v>
      </c>
      <c r="E4045" s="22" t="str">
        <f t="shared" ca="1" si="127"/>
        <v>201908</v>
      </c>
      <c r="F4045" s="22">
        <v>2019</v>
      </c>
    </row>
    <row r="4046" spans="1:6" ht="15.75">
      <c r="A4046" s="22" t="s">
        <v>1442</v>
      </c>
      <c r="B4046" s="23">
        <v>43708</v>
      </c>
      <c r="C4046" s="24">
        <v>30.48</v>
      </c>
      <c r="D4046" s="25" t="str">
        <f t="shared" si="126"/>
        <v>201935</v>
      </c>
      <c r="E4046" s="22" t="str">
        <f t="shared" ca="1" si="127"/>
        <v>201908</v>
      </c>
      <c r="F4046" s="22">
        <v>2019</v>
      </c>
    </row>
    <row r="4047" spans="1:6" ht="15.75">
      <c r="A4047" s="22" t="s">
        <v>1443</v>
      </c>
      <c r="B4047" s="20">
        <v>43708</v>
      </c>
      <c r="C4047" s="21">
        <v>43.000000685453401</v>
      </c>
      <c r="D4047" s="25" t="str">
        <f t="shared" si="126"/>
        <v>201935</v>
      </c>
      <c r="E4047" s="22" t="str">
        <f t="shared" ca="1" si="127"/>
        <v>201908</v>
      </c>
      <c r="F4047" s="22">
        <v>2019</v>
      </c>
    </row>
    <row r="4048" spans="1:6" ht="15.75">
      <c r="A4048" s="22" t="s">
        <v>1441</v>
      </c>
      <c r="B4048" s="26">
        <v>43708</v>
      </c>
      <c r="C4048" s="27">
        <v>19.88</v>
      </c>
      <c r="D4048" s="25" t="str">
        <f t="shared" si="126"/>
        <v>201935</v>
      </c>
      <c r="E4048" s="22" t="str">
        <f t="shared" ca="1" si="127"/>
        <v>201908</v>
      </c>
      <c r="F4048" s="22">
        <v>2019</v>
      </c>
    </row>
    <row r="4049" spans="1:6" ht="15.75">
      <c r="A4049" s="22" t="s">
        <v>1442</v>
      </c>
      <c r="B4049" s="23">
        <v>43709</v>
      </c>
      <c r="C4049" s="24">
        <v>38.590000000000003</v>
      </c>
      <c r="D4049" s="25" t="str">
        <f t="shared" si="126"/>
        <v>201935</v>
      </c>
      <c r="E4049" s="22" t="str">
        <f t="shared" ca="1" si="127"/>
        <v>201909</v>
      </c>
      <c r="F4049" s="22">
        <v>2019</v>
      </c>
    </row>
    <row r="4050" spans="1:6" ht="15.75">
      <c r="A4050" s="22" t="s">
        <v>1443</v>
      </c>
      <c r="B4050" s="20">
        <v>43709</v>
      </c>
      <c r="C4050" s="21">
        <v>42.400000199675603</v>
      </c>
      <c r="D4050" s="25" t="str">
        <f t="shared" si="126"/>
        <v>201935</v>
      </c>
      <c r="E4050" s="22" t="str">
        <f t="shared" ca="1" si="127"/>
        <v>201909</v>
      </c>
      <c r="F4050" s="22">
        <v>2019</v>
      </c>
    </row>
    <row r="4051" spans="1:6" ht="15.75">
      <c r="A4051" s="22" t="s">
        <v>1441</v>
      </c>
      <c r="B4051" s="26">
        <v>43709</v>
      </c>
      <c r="C4051" s="27">
        <v>20.079999999999998</v>
      </c>
      <c r="D4051" s="25" t="str">
        <f t="shared" si="126"/>
        <v>201935</v>
      </c>
      <c r="E4051" s="22" t="str">
        <f t="shared" ca="1" si="127"/>
        <v>201909</v>
      </c>
      <c r="F4051" s="22">
        <v>2019</v>
      </c>
    </row>
    <row r="4052" spans="1:6" ht="15.75">
      <c r="A4052" s="22" t="s">
        <v>1442</v>
      </c>
      <c r="B4052" s="23">
        <v>43710</v>
      </c>
      <c r="C4052" s="24">
        <v>44.13</v>
      </c>
      <c r="D4052" s="25" t="str">
        <f t="shared" si="126"/>
        <v>201936</v>
      </c>
      <c r="E4052" s="22" t="str">
        <f t="shared" ca="1" si="127"/>
        <v>201909</v>
      </c>
      <c r="F4052" s="22">
        <v>2019</v>
      </c>
    </row>
    <row r="4053" spans="1:6" ht="15.75">
      <c r="A4053" s="22" t="s">
        <v>1443</v>
      </c>
      <c r="B4053" s="20">
        <v>43710</v>
      </c>
      <c r="C4053" s="21">
        <v>56.003306895494497</v>
      </c>
      <c r="D4053" s="25" t="str">
        <f t="shared" si="126"/>
        <v>201936</v>
      </c>
      <c r="E4053" s="22" t="str">
        <f t="shared" ca="1" si="127"/>
        <v>201909</v>
      </c>
      <c r="F4053" s="22">
        <v>2019</v>
      </c>
    </row>
    <row r="4054" spans="1:6" ht="15.75">
      <c r="A4054" s="22" t="s">
        <v>1441</v>
      </c>
      <c r="B4054" s="26">
        <v>43710</v>
      </c>
      <c r="C4054" s="27">
        <v>20</v>
      </c>
      <c r="D4054" s="25" t="str">
        <f t="shared" si="126"/>
        <v>201936</v>
      </c>
      <c r="E4054" s="22" t="str">
        <f t="shared" ca="1" si="127"/>
        <v>201909</v>
      </c>
      <c r="F4054" s="22">
        <v>2019</v>
      </c>
    </row>
    <row r="4055" spans="1:6" ht="15.75">
      <c r="A4055" s="22" t="s">
        <v>1442</v>
      </c>
      <c r="B4055" s="23">
        <v>43711</v>
      </c>
      <c r="C4055" s="24">
        <v>21.76</v>
      </c>
      <c r="D4055" s="25" t="str">
        <f t="shared" si="126"/>
        <v>201936</v>
      </c>
      <c r="E4055" s="22" t="str">
        <f t="shared" ca="1" si="127"/>
        <v>201909</v>
      </c>
      <c r="F4055" s="22">
        <v>2019</v>
      </c>
    </row>
    <row r="4056" spans="1:6" ht="15.75">
      <c r="A4056" s="22" t="s">
        <v>1443</v>
      </c>
      <c r="B4056" s="20">
        <v>43711</v>
      </c>
      <c r="C4056" s="21">
        <v>46.200001850724199</v>
      </c>
      <c r="D4056" s="25" t="str">
        <f t="shared" si="126"/>
        <v>201936</v>
      </c>
      <c r="E4056" s="22" t="str">
        <f t="shared" ca="1" si="127"/>
        <v>201909</v>
      </c>
      <c r="F4056" s="22">
        <v>2019</v>
      </c>
    </row>
    <row r="4057" spans="1:6" ht="15.75">
      <c r="A4057" s="22" t="s">
        <v>1441</v>
      </c>
      <c r="B4057" s="26">
        <v>43711</v>
      </c>
      <c r="C4057" s="27">
        <v>20.02</v>
      </c>
      <c r="D4057" s="25" t="str">
        <f t="shared" si="126"/>
        <v>201936</v>
      </c>
      <c r="E4057" s="22" t="str">
        <f t="shared" ca="1" si="127"/>
        <v>201909</v>
      </c>
      <c r="F4057" s="22">
        <v>2019</v>
      </c>
    </row>
    <row r="4058" spans="1:6" ht="15.75">
      <c r="A4058" s="22" t="s">
        <v>1442</v>
      </c>
      <c r="B4058" s="23">
        <v>43712</v>
      </c>
      <c r="C4058" s="24">
        <v>35.380000000000003</v>
      </c>
      <c r="D4058" s="25" t="str">
        <f t="shared" si="126"/>
        <v>201936</v>
      </c>
      <c r="E4058" s="22" t="str">
        <f t="shared" ca="1" si="127"/>
        <v>201909</v>
      </c>
      <c r="F4058" s="22">
        <v>2019</v>
      </c>
    </row>
    <row r="4059" spans="1:6" ht="15.75">
      <c r="A4059" s="22" t="s">
        <v>1443</v>
      </c>
      <c r="B4059" s="20">
        <v>43712</v>
      </c>
      <c r="C4059" s="21">
        <v>39.2000001221895</v>
      </c>
      <c r="D4059" s="25" t="str">
        <f t="shared" si="126"/>
        <v>201936</v>
      </c>
      <c r="E4059" s="22" t="str">
        <f t="shared" ca="1" si="127"/>
        <v>201909</v>
      </c>
      <c r="F4059" s="22">
        <v>2019</v>
      </c>
    </row>
    <row r="4060" spans="1:6" ht="15.75">
      <c r="A4060" s="22" t="s">
        <v>1441</v>
      </c>
      <c r="B4060" s="26">
        <v>43712</v>
      </c>
      <c r="C4060" s="27">
        <v>20.05</v>
      </c>
      <c r="D4060" s="25" t="str">
        <f t="shared" si="126"/>
        <v>201936</v>
      </c>
      <c r="E4060" s="22" t="str">
        <f t="shared" ca="1" si="127"/>
        <v>201909</v>
      </c>
      <c r="F4060" s="22">
        <v>2019</v>
      </c>
    </row>
    <row r="4061" spans="1:6" ht="15.75">
      <c r="A4061" s="22" t="s">
        <v>1442</v>
      </c>
      <c r="B4061" s="23">
        <v>43713</v>
      </c>
      <c r="C4061" s="24">
        <v>29.62</v>
      </c>
      <c r="D4061" s="25" t="str">
        <f t="shared" si="126"/>
        <v>201936</v>
      </c>
      <c r="E4061" s="22" t="str">
        <f t="shared" ca="1" si="127"/>
        <v>201909</v>
      </c>
      <c r="F4061" s="22">
        <v>2019</v>
      </c>
    </row>
    <row r="4062" spans="1:6" ht="15.75">
      <c r="A4062" s="22" t="s">
        <v>1443</v>
      </c>
      <c r="B4062" s="20">
        <v>43713</v>
      </c>
      <c r="C4062" s="21">
        <v>45.600000023841901</v>
      </c>
      <c r="D4062" s="25" t="str">
        <f t="shared" si="126"/>
        <v>201936</v>
      </c>
      <c r="E4062" s="22" t="str">
        <f t="shared" ca="1" si="127"/>
        <v>201909</v>
      </c>
      <c r="F4062" s="22">
        <v>2019</v>
      </c>
    </row>
    <row r="4063" spans="1:6" ht="15.75">
      <c r="A4063" s="22" t="s">
        <v>1441</v>
      </c>
      <c r="B4063" s="26">
        <v>43713</v>
      </c>
      <c r="C4063" s="27">
        <v>19.96</v>
      </c>
      <c r="D4063" s="25" t="str">
        <f t="shared" si="126"/>
        <v>201936</v>
      </c>
      <c r="E4063" s="22" t="str">
        <f t="shared" ca="1" si="127"/>
        <v>201909</v>
      </c>
      <c r="F4063" s="22">
        <v>2019</v>
      </c>
    </row>
    <row r="4064" spans="1:6" ht="15.75">
      <c r="A4064" s="22" t="s">
        <v>1442</v>
      </c>
      <c r="B4064" s="23">
        <v>43714</v>
      </c>
      <c r="C4064" s="24">
        <v>35.1</v>
      </c>
      <c r="D4064" s="25" t="str">
        <f t="shared" si="126"/>
        <v>201936</v>
      </c>
      <c r="E4064" s="22" t="str">
        <f t="shared" ca="1" si="127"/>
        <v>201909</v>
      </c>
      <c r="F4064" s="22">
        <v>2019</v>
      </c>
    </row>
    <row r="4065" spans="1:6" ht="15.75">
      <c r="A4065" s="22" t="s">
        <v>1443</v>
      </c>
      <c r="B4065" s="20">
        <v>43714</v>
      </c>
      <c r="C4065" s="21">
        <v>38.4000008702278</v>
      </c>
      <c r="D4065" s="25" t="str">
        <f t="shared" si="126"/>
        <v>201936</v>
      </c>
      <c r="E4065" s="22" t="str">
        <f t="shared" ca="1" si="127"/>
        <v>201909</v>
      </c>
      <c r="F4065" s="22">
        <v>2019</v>
      </c>
    </row>
    <row r="4066" spans="1:6" ht="15.75">
      <c r="A4066" s="22" t="s">
        <v>1441</v>
      </c>
      <c r="B4066" s="26">
        <v>43714</v>
      </c>
      <c r="C4066" s="27">
        <v>19.95</v>
      </c>
      <c r="D4066" s="25" t="str">
        <f t="shared" si="126"/>
        <v>201936</v>
      </c>
      <c r="E4066" s="22" t="str">
        <f t="shared" ca="1" si="127"/>
        <v>201909</v>
      </c>
      <c r="F4066" s="22">
        <v>2019</v>
      </c>
    </row>
    <row r="4067" spans="1:6" ht="15.75">
      <c r="A4067" s="22" t="s">
        <v>1442</v>
      </c>
      <c r="B4067" s="23">
        <v>43715</v>
      </c>
      <c r="C4067" s="24">
        <v>29.2</v>
      </c>
      <c r="D4067" s="25" t="str">
        <f t="shared" si="126"/>
        <v>201936</v>
      </c>
      <c r="E4067" s="22" t="str">
        <f t="shared" ca="1" si="127"/>
        <v>201909</v>
      </c>
      <c r="F4067" s="22">
        <v>2019</v>
      </c>
    </row>
    <row r="4068" spans="1:6" ht="15.75">
      <c r="A4068" s="22" t="s">
        <v>1443</v>
      </c>
      <c r="B4068" s="20">
        <v>43715</v>
      </c>
      <c r="C4068" s="21">
        <v>37.600000217557003</v>
      </c>
      <c r="D4068" s="25" t="str">
        <f t="shared" si="126"/>
        <v>201936</v>
      </c>
      <c r="E4068" s="22" t="str">
        <f t="shared" ca="1" si="127"/>
        <v>201909</v>
      </c>
      <c r="F4068" s="22">
        <v>2019</v>
      </c>
    </row>
    <row r="4069" spans="1:6" ht="15.75">
      <c r="A4069" s="22" t="s">
        <v>1441</v>
      </c>
      <c r="B4069" s="26">
        <v>43715</v>
      </c>
      <c r="C4069" s="27">
        <v>19.940000000000001</v>
      </c>
      <c r="D4069" s="25" t="str">
        <f t="shared" si="126"/>
        <v>201936</v>
      </c>
      <c r="E4069" s="22" t="str">
        <f t="shared" ca="1" si="127"/>
        <v>201909</v>
      </c>
      <c r="F4069" s="22">
        <v>2019</v>
      </c>
    </row>
    <row r="4070" spans="1:6" ht="15.75">
      <c r="A4070" s="22" t="s">
        <v>1442</v>
      </c>
      <c r="B4070" s="23">
        <v>43716</v>
      </c>
      <c r="C4070" s="24">
        <v>33.21</v>
      </c>
      <c r="D4070" s="25" t="str">
        <f t="shared" si="126"/>
        <v>201936</v>
      </c>
      <c r="E4070" s="22" t="str">
        <f t="shared" ca="1" si="127"/>
        <v>201909</v>
      </c>
      <c r="F4070" s="22">
        <v>2019</v>
      </c>
    </row>
    <row r="4071" spans="1:6" ht="15.75">
      <c r="A4071" s="22" t="s">
        <v>1443</v>
      </c>
      <c r="B4071" s="20">
        <v>43716</v>
      </c>
      <c r="C4071" s="21">
        <v>67.680000424385099</v>
      </c>
      <c r="D4071" s="25" t="str">
        <f t="shared" si="126"/>
        <v>201936</v>
      </c>
      <c r="E4071" s="22" t="str">
        <f t="shared" ca="1" si="127"/>
        <v>201909</v>
      </c>
      <c r="F4071" s="22">
        <v>2019</v>
      </c>
    </row>
    <row r="4072" spans="1:6" ht="15.75">
      <c r="A4072" s="22" t="s">
        <v>1441</v>
      </c>
      <c r="B4072" s="26">
        <v>43716</v>
      </c>
      <c r="C4072" s="27">
        <v>19.989999999999998</v>
      </c>
      <c r="D4072" s="25" t="str">
        <f t="shared" si="126"/>
        <v>201936</v>
      </c>
      <c r="E4072" s="22" t="str">
        <f t="shared" ca="1" si="127"/>
        <v>201909</v>
      </c>
      <c r="F4072" s="22">
        <v>2019</v>
      </c>
    </row>
    <row r="4073" spans="1:6" ht="15.75">
      <c r="A4073" s="22" t="s">
        <v>1443</v>
      </c>
      <c r="B4073" s="20">
        <v>43717</v>
      </c>
      <c r="C4073" s="21">
        <v>79.116725511848898</v>
      </c>
      <c r="D4073" s="25" t="str">
        <f t="shared" si="126"/>
        <v>201937</v>
      </c>
      <c r="E4073" s="22" t="str">
        <f t="shared" ca="1" si="127"/>
        <v>201909</v>
      </c>
      <c r="F4073" s="22">
        <v>2019</v>
      </c>
    </row>
    <row r="4074" spans="1:6" ht="15.75">
      <c r="A4074" s="22" t="s">
        <v>1441</v>
      </c>
      <c r="B4074" s="26">
        <v>43717</v>
      </c>
      <c r="C4074" s="27">
        <v>58.77</v>
      </c>
      <c r="D4074" s="25" t="str">
        <f t="shared" si="126"/>
        <v>201937</v>
      </c>
      <c r="E4074" s="22" t="str">
        <f t="shared" ca="1" si="127"/>
        <v>201909</v>
      </c>
      <c r="F4074" s="22">
        <v>2019</v>
      </c>
    </row>
    <row r="4075" spans="1:6" ht="15.75">
      <c r="A4075" s="28" t="s">
        <v>1442</v>
      </c>
      <c r="B4075" s="23">
        <v>43717</v>
      </c>
      <c r="C4075" s="24">
        <v>30.63</v>
      </c>
      <c r="D4075" s="25" t="str">
        <f t="shared" si="126"/>
        <v>201937</v>
      </c>
      <c r="E4075" s="22" t="str">
        <f t="shared" ca="1" si="127"/>
        <v>201909</v>
      </c>
      <c r="F4075" s="22">
        <v>2019</v>
      </c>
    </row>
    <row r="4076" spans="1:6" ht="15.75">
      <c r="A4076" s="22" t="s">
        <v>1443</v>
      </c>
      <c r="B4076" s="20">
        <v>43718</v>
      </c>
      <c r="C4076" s="21">
        <v>71.943291723728194</v>
      </c>
      <c r="D4076" s="25" t="str">
        <f t="shared" si="126"/>
        <v>201937</v>
      </c>
      <c r="E4076" s="22" t="str">
        <f t="shared" ca="1" si="127"/>
        <v>201909</v>
      </c>
      <c r="F4076" s="22">
        <v>2019</v>
      </c>
    </row>
    <row r="4077" spans="1:6" ht="15.75">
      <c r="A4077" s="22" t="s">
        <v>1441</v>
      </c>
      <c r="B4077" s="26">
        <v>43718</v>
      </c>
      <c r="C4077" s="27">
        <v>60.18</v>
      </c>
      <c r="D4077" s="25" t="str">
        <f t="shared" si="126"/>
        <v>201937</v>
      </c>
      <c r="E4077" s="22" t="str">
        <f t="shared" ca="1" si="127"/>
        <v>201909</v>
      </c>
      <c r="F4077" s="22">
        <v>2019</v>
      </c>
    </row>
    <row r="4078" spans="1:6" ht="15.75">
      <c r="A4078" s="28" t="s">
        <v>1442</v>
      </c>
      <c r="B4078" s="23">
        <v>43718</v>
      </c>
      <c r="C4078" s="24">
        <v>28.09</v>
      </c>
      <c r="D4078" s="25" t="str">
        <f t="shared" si="126"/>
        <v>201937</v>
      </c>
      <c r="E4078" s="22" t="str">
        <f t="shared" ca="1" si="127"/>
        <v>201909</v>
      </c>
      <c r="F4078" s="22">
        <v>2019</v>
      </c>
    </row>
    <row r="4079" spans="1:6" ht="15.75">
      <c r="A4079" s="22" t="s">
        <v>1443</v>
      </c>
      <c r="B4079" s="20">
        <v>43719</v>
      </c>
      <c r="C4079" s="21">
        <v>71.392303794622407</v>
      </c>
      <c r="D4079" s="25" t="str">
        <f t="shared" si="126"/>
        <v>201937</v>
      </c>
      <c r="E4079" s="22" t="str">
        <f t="shared" ca="1" si="127"/>
        <v>201909</v>
      </c>
      <c r="F4079" s="22">
        <v>2019</v>
      </c>
    </row>
    <row r="4080" spans="1:6" ht="15.75">
      <c r="A4080" s="22" t="s">
        <v>1441</v>
      </c>
      <c r="B4080" s="26">
        <v>43719</v>
      </c>
      <c r="C4080" s="27">
        <v>58.69</v>
      </c>
      <c r="D4080" s="25" t="str">
        <f t="shared" si="126"/>
        <v>201937</v>
      </c>
      <c r="E4080" s="22" t="str">
        <f t="shared" ca="1" si="127"/>
        <v>201909</v>
      </c>
      <c r="F4080" s="22">
        <v>2019</v>
      </c>
    </row>
    <row r="4081" spans="1:6" ht="15.75">
      <c r="A4081" s="28" t="s">
        <v>1442</v>
      </c>
      <c r="B4081" s="23">
        <v>43719</v>
      </c>
      <c r="C4081" s="24">
        <v>41.12</v>
      </c>
      <c r="D4081" s="25" t="str">
        <f t="shared" si="126"/>
        <v>201937</v>
      </c>
      <c r="E4081" s="22" t="str">
        <f t="shared" ca="1" si="127"/>
        <v>201909</v>
      </c>
      <c r="F4081" s="22">
        <v>2019</v>
      </c>
    </row>
    <row r="4082" spans="1:6" ht="15.75">
      <c r="A4082" s="22" t="s">
        <v>1443</v>
      </c>
      <c r="B4082" s="20">
        <v>43720</v>
      </c>
      <c r="C4082" s="21">
        <v>66.485061466693907</v>
      </c>
      <c r="D4082" s="25" t="str">
        <f t="shared" si="126"/>
        <v>201937</v>
      </c>
      <c r="E4082" s="22" t="str">
        <f t="shared" ca="1" si="127"/>
        <v>201909</v>
      </c>
      <c r="F4082" s="22">
        <v>2019</v>
      </c>
    </row>
    <row r="4083" spans="1:6" ht="15.75">
      <c r="A4083" s="22" t="s">
        <v>1441</v>
      </c>
      <c r="B4083" s="26">
        <v>43720</v>
      </c>
      <c r="C4083" s="27">
        <v>59.22</v>
      </c>
      <c r="D4083" s="25" t="str">
        <f t="shared" si="126"/>
        <v>201937</v>
      </c>
      <c r="E4083" s="22" t="str">
        <f t="shared" ca="1" si="127"/>
        <v>201909</v>
      </c>
      <c r="F4083" s="22">
        <v>2019</v>
      </c>
    </row>
    <row r="4084" spans="1:6" ht="15.75">
      <c r="A4084" s="28" t="s">
        <v>1442</v>
      </c>
      <c r="B4084" s="23">
        <v>43720</v>
      </c>
      <c r="C4084" s="24">
        <v>41.66</v>
      </c>
      <c r="D4084" s="25" t="str">
        <f t="shared" si="126"/>
        <v>201937</v>
      </c>
      <c r="E4084" s="22" t="str">
        <f t="shared" ca="1" si="127"/>
        <v>201909</v>
      </c>
      <c r="F4084" s="22">
        <v>2019</v>
      </c>
    </row>
    <row r="4085" spans="1:6" ht="15.75">
      <c r="A4085" s="22" t="s">
        <v>1443</v>
      </c>
      <c r="B4085" s="20">
        <v>43721</v>
      </c>
      <c r="C4085" s="21">
        <v>57.901820551603997</v>
      </c>
      <c r="D4085" s="25" t="str">
        <f t="shared" si="126"/>
        <v>201937</v>
      </c>
      <c r="E4085" s="22" t="str">
        <f t="shared" ca="1" si="127"/>
        <v>201909</v>
      </c>
      <c r="F4085" s="22">
        <v>2019</v>
      </c>
    </row>
    <row r="4086" spans="1:6" ht="15.75">
      <c r="A4086" s="22" t="s">
        <v>1441</v>
      </c>
      <c r="B4086" s="29">
        <v>43721</v>
      </c>
      <c r="C4086" s="30">
        <v>58.62</v>
      </c>
      <c r="D4086" s="25" t="str">
        <f t="shared" si="126"/>
        <v>201937</v>
      </c>
      <c r="E4086" s="22" t="str">
        <f t="shared" ca="1" si="127"/>
        <v>201909</v>
      </c>
      <c r="F4086" s="22">
        <v>2019</v>
      </c>
    </row>
    <row r="4087" spans="1:6" ht="15.75">
      <c r="A4087" s="28" t="s">
        <v>1442</v>
      </c>
      <c r="B4087" s="32">
        <v>43721</v>
      </c>
      <c r="C4087" s="34">
        <v>41</v>
      </c>
      <c r="D4087" s="25" t="str">
        <f t="shared" si="126"/>
        <v>201937</v>
      </c>
      <c r="E4087" s="22" t="str">
        <f t="shared" ca="1" si="127"/>
        <v>201909</v>
      </c>
      <c r="F4087" s="22">
        <v>2019</v>
      </c>
    </row>
    <row r="4088" spans="1:6" ht="15.75">
      <c r="A4088" s="22" t="s">
        <v>1443</v>
      </c>
      <c r="B4088" s="33">
        <v>43722</v>
      </c>
      <c r="C4088" s="35">
        <v>56.332329211756601</v>
      </c>
      <c r="D4088" s="25" t="str">
        <f t="shared" si="126"/>
        <v>201937</v>
      </c>
      <c r="E4088" s="22" t="str">
        <f t="shared" ca="1" si="127"/>
        <v>201909</v>
      </c>
      <c r="F4088" s="22">
        <v>2019</v>
      </c>
    </row>
    <row r="4089" spans="1:6" ht="15.75">
      <c r="A4089" s="22" t="s">
        <v>1441</v>
      </c>
      <c r="B4089" s="29">
        <v>43722</v>
      </c>
      <c r="C4089" s="30">
        <v>59.93</v>
      </c>
      <c r="D4089" s="25" t="str">
        <f t="shared" si="126"/>
        <v>201937</v>
      </c>
      <c r="E4089" s="22" t="str">
        <f t="shared" ca="1" si="127"/>
        <v>201909</v>
      </c>
      <c r="F4089" s="22">
        <v>2019</v>
      </c>
    </row>
    <row r="4090" spans="1:6" ht="15.75">
      <c r="A4090" s="28" t="s">
        <v>1442</v>
      </c>
      <c r="B4090" s="32">
        <v>43722</v>
      </c>
      <c r="C4090" s="34">
        <v>20.91</v>
      </c>
      <c r="D4090" s="25" t="str">
        <f t="shared" si="126"/>
        <v>201937</v>
      </c>
      <c r="E4090" s="22" t="str">
        <f t="shared" ca="1" si="127"/>
        <v>201909</v>
      </c>
      <c r="F4090" s="22">
        <v>2019</v>
      </c>
    </row>
    <row r="4091" spans="1:6" ht="15.75">
      <c r="A4091" s="22" t="s">
        <v>1443</v>
      </c>
      <c r="B4091" s="33">
        <v>43723</v>
      </c>
      <c r="C4091" s="35">
        <v>82.191143274307294</v>
      </c>
      <c r="D4091" s="25" t="str">
        <f t="shared" si="126"/>
        <v>201937</v>
      </c>
      <c r="E4091" s="22" t="str">
        <f t="shared" ca="1" si="127"/>
        <v>201909</v>
      </c>
      <c r="F4091" s="22">
        <v>2019</v>
      </c>
    </row>
    <row r="4092" spans="1:6" ht="15.75">
      <c r="A4092" s="22" t="s">
        <v>1441</v>
      </c>
      <c r="B4092" s="29">
        <v>43723</v>
      </c>
      <c r="C4092" s="30">
        <v>53.35</v>
      </c>
      <c r="D4092" s="25" t="str">
        <f t="shared" si="126"/>
        <v>201937</v>
      </c>
      <c r="E4092" s="22" t="str">
        <f t="shared" ca="1" si="127"/>
        <v>201909</v>
      </c>
      <c r="F4092" s="22">
        <v>2019</v>
      </c>
    </row>
    <row r="4093" spans="1:6" ht="15.75">
      <c r="A4093" s="28" t="s">
        <v>1442</v>
      </c>
      <c r="B4093" s="32">
        <v>43723</v>
      </c>
      <c r="C4093" s="34">
        <v>46.64</v>
      </c>
      <c r="D4093" s="25" t="str">
        <f t="shared" si="126"/>
        <v>201937</v>
      </c>
      <c r="E4093" s="22" t="str">
        <f t="shared" ca="1" si="127"/>
        <v>201909</v>
      </c>
      <c r="F4093" s="22">
        <v>2019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EBFF2F48E30C643960A88AB9AA161DF" ma:contentTypeVersion="2" ma:contentTypeDescription="Create a new document." ma:contentTypeScope="" ma:versionID="07eb78324a2e46ed21a3b7672cfc1a5b">
  <xsd:schema xmlns:xsd="http://www.w3.org/2001/XMLSchema" xmlns:xs="http://www.w3.org/2001/XMLSchema" xmlns:p="http://schemas.microsoft.com/office/2006/metadata/properties" xmlns:ns2="4aeb46e8-bb39-447e-847f-83bc36b9ebf7" targetNamespace="http://schemas.microsoft.com/office/2006/metadata/properties" ma:root="true" ma:fieldsID="2dda3abfbd6dbe0bf0c9d47f5a791892" ns2:_="">
    <xsd:import namespace="4aeb46e8-bb39-447e-847f-83bc36b9ebf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eb46e8-bb39-447e-847f-83bc36b9eb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E24962CC-11A2-44F3-B3FB-254A7912F71F}"/>
</file>

<file path=customXml/itemProps2.xml><?xml version="1.0" encoding="utf-8"?>
<ds:datastoreItem xmlns:ds="http://schemas.openxmlformats.org/officeDocument/2006/customXml" ds:itemID="{48F7F836-DFEA-41AD-A140-601879EDECB1}"/>
</file>

<file path=customXml/itemProps3.xml><?xml version="1.0" encoding="utf-8"?>
<ds:datastoreItem xmlns:ds="http://schemas.openxmlformats.org/officeDocument/2006/customXml" ds:itemID="{877D2C7A-B0EE-4C5C-8D04-E7C89220C12C}"/>
</file>

<file path=customXml/itemProps4.xml><?xml version="1.0" encoding="utf-8"?>
<ds:datastoreItem xmlns:ds="http://schemas.openxmlformats.org/officeDocument/2006/customXml" ds:itemID="{BB72B223-247A-4C35-BB4F-14D0A43C020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Euan Mackenzie</dc:creator>
  <cp:keywords/>
  <dc:description/>
  <cp:lastModifiedBy>Euan Mackenzie</cp:lastModifiedBy>
  <cp:revision/>
  <dcterms:created xsi:type="dcterms:W3CDTF">2019-06-28T14:48:32Z</dcterms:created>
  <dcterms:modified xsi:type="dcterms:W3CDTF">2019-10-10T12:27:48Z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0x010100BEBFF2F48E30C643960A88AB9AA161DF</vt:lpwstr>
  </property>
</Properties>
</file>