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" sheetId="1" r:id="rId4"/>
    <sheet state="visible" name="Main" sheetId="2" r:id="rId5"/>
    <sheet state="visible" name="Pivot Table 1" sheetId="3" r:id="rId6"/>
    <sheet state="visible" name="Detail1-Amit Mayekar" sheetId="4" r:id="rId7"/>
    <sheet state="visible" name="Attandance" sheetId="5" r:id="rId8"/>
    <sheet state="visible" name="working" sheetId="6" r:id="rId9"/>
  </sheets>
  <definedNames>
    <definedName name="TEST">#REF!</definedName>
  </definedNames>
  <calcPr/>
  <pivotCaches>
    <pivotCache cacheId="0" r:id="rId10"/>
    <pivotCache cacheId="1" r:id="rId11"/>
    <pivotCache cacheId="2" r:id="rId12"/>
  </pivotCache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3">
      <text>
        <t xml:space="preserve">Neha D:Not well
</t>
      </text>
    </comment>
    <comment authorId="0" ref="E3">
      <text>
        <t xml:space="preserve">Neha D:Not well
</t>
      </text>
    </comment>
    <comment authorId="0" ref="F3">
      <text>
        <t xml:space="preserve">vinod n: hand fractured.
</t>
      </text>
    </comment>
    <comment authorId="0" ref="G3">
      <text>
        <t xml:space="preserve">vinod n:
will be coming from tomorrow</t>
      </text>
    </comment>
    <comment authorId="0" ref="H3">
      <text>
        <t xml:space="preserve">VAISHALI N: WAS LATE FOR TRANSPORT WAS SENT HOME CAUSE HIS HAND IS FRACTURED N CANNOT TRAVEL TOO FAR IN TRAIN.
</t>
      </text>
    </comment>
    <comment authorId="0" ref="J3">
      <text>
        <t xml:space="preserve">vaishali n: hand fractured
</t>
      </text>
    </comment>
    <comment authorId="0" ref="K3">
      <text>
        <t xml:space="preserve">VAISHALI N: WOFF SWAPPED WITH NILESH G. BUT DID NOT COME TO OFFICE.
</t>
      </text>
    </comment>
    <comment authorId="0" ref="M3">
      <text>
        <t xml:space="preserve">VAISHALI N: CALLED UP NO INFO
</t>
      </text>
    </comment>
    <comment authorId="0" ref="J5">
      <text>
        <t xml:space="preserve">HEMANT T: CAME ON THE OFF SO OFF ADJUSTED HERE.
</t>
      </text>
    </comment>
    <comment authorId="0" ref="H6">
      <text>
        <t xml:space="preserve">Neha D:Coming late will cover 10 hours
</t>
      </text>
    </comment>
    <comment authorId="0" ref="J6">
      <text>
        <t xml:space="preserve">vaishali n: called up no info.
</t>
      </text>
    </comment>
    <comment authorId="0" ref="M6">
      <text>
        <t xml:space="preserve">nairv:
coming late will cover 10 hrs</t>
      </text>
    </comment>
    <comment authorId="0" ref="N6">
      <text>
        <t xml:space="preserve">Vinod N:
coming late will complete 10 hrs</t>
      </text>
    </comment>
    <comment authorId="0" ref="D7">
      <text>
        <t xml:space="preserve">Neha D:No response
</t>
      </text>
    </comment>
    <comment authorId="0" ref="L7">
      <text>
        <t xml:space="preserve">Neha D:Reached home at 3 in the night after doing OT -was sleeping when called
</t>
      </text>
    </comment>
    <comment authorId="0" ref="G8">
      <text>
        <t xml:space="preserve">HEMANT: NOT KEEPING WELL</t>
      </text>
    </comment>
    <comment authorId="0" ref="N8">
      <text>
        <t xml:space="preserve">Vinod N:
not reachable</t>
      </text>
    </comment>
    <comment authorId="0" ref="D9">
      <text>
        <t xml:space="preserve">NEHA D:Not coming informed hemant
</t>
      </text>
    </comment>
    <comment authorId="0" ref="F9">
      <text>
        <t xml:space="preserve">Neha D:coming late will cover 10 hours
</t>
      </text>
    </comment>
    <comment authorId="0" ref="H9">
      <text>
        <t xml:space="preserve">Neha D:
coming late will cover 10 hours</t>
      </text>
    </comment>
    <comment authorId="0" ref="K9">
      <text>
        <t xml:space="preserve">Neha D:Has come late will cover 10 hours
</t>
      </text>
    </comment>
    <comment authorId="0" ref="G10">
      <text>
        <t xml:space="preserve">vinod n:
phone switched off</t>
      </text>
    </comment>
    <comment authorId="0" ref="D14">
      <text>
        <t xml:space="preserve">Neha D:Not well
</t>
      </text>
    </comment>
    <comment authorId="0" ref="E14">
      <text>
        <t xml:space="preserve">Neha D:Not well
</t>
      </text>
    </comment>
    <comment authorId="0" ref="F14">
      <text>
        <t xml:space="preserve">vinod n: being operated
</t>
      </text>
    </comment>
    <comment authorId="0" ref="G14">
      <text>
        <t xml:space="preserve">vinod n: being operated
</t>
      </text>
    </comment>
    <comment authorId="0" ref="J14">
      <text>
        <t xml:space="preserve">vaishali n: being operated
</t>
      </text>
    </comment>
    <comment authorId="0" ref="K14">
      <text>
        <t xml:space="preserve">VAISHALI N: CALLED UP NO RESPONSE
</t>
      </text>
    </comment>
    <comment authorId="0" ref="M14">
      <text>
        <t xml:space="preserve">VAISHALI N: CALLED UP NO INFO
</t>
      </text>
    </comment>
    <comment authorId="0" ref="N14">
      <text>
        <t xml:space="preserve">Vaishali n: was not well being operated but after than absconding.
</t>
      </text>
    </comment>
    <comment authorId="0" ref="F16">
      <text>
        <t xml:space="preserve">Neha D:Phone switched off
</t>
      </text>
    </comment>
    <comment authorId="0" ref="K16">
      <text>
        <t xml:space="preserve">VAISHALI N: CALLED UP NOT REACHABLE.
</t>
      </text>
    </comment>
    <comment authorId="0" ref="L17">
      <text>
        <t xml:space="preserve">Neha D:Coming Late will cover 10 hours
</t>
      </text>
    </comment>
    <comment authorId="0" ref="M17">
      <text>
        <t xml:space="preserve">VAISHALI N: CALLED UP TRANSPORT LATE
</t>
      </text>
    </comment>
    <comment authorId="0" ref="N17">
      <text>
        <t xml:space="preserve">VAISHALI N:CALLED UP WILL COME LATE AND COVER 10 HOURS.
</t>
      </text>
    </comment>
    <comment authorId="0" ref="N18">
      <text>
        <t xml:space="preserve">VAISHALI N: COMING LATE WILL COMPLETE 10 HOURS.
</t>
      </text>
    </comment>
    <comment authorId="0" ref="M19">
      <text>
        <t xml:space="preserve">vaishali n: coming late will cover  10 hours.
</t>
      </text>
    </comment>
    <comment authorId="0" ref="H20">
      <text>
        <t xml:space="preserve">neha d:no answer
</t>
      </text>
    </comment>
    <comment authorId="0" ref="D21">
      <text>
        <t xml:space="preserve">Vinod N:
college exams</t>
      </text>
    </comment>
    <comment authorId="0" ref="E21">
      <text>
        <t xml:space="preserve">Vinod N:
college exams</t>
      </text>
    </comment>
    <comment authorId="0" ref="F21">
      <text>
        <t xml:space="preserve">Neha D:Not going to continue
</t>
      </text>
    </comment>
    <comment authorId="0" ref="H22">
      <text>
        <t xml:space="preserve">NEHA D:COMING LATE WILL COVER 10 HOURS
</t>
      </text>
    </comment>
    <comment authorId="0" ref="E23">
      <text>
        <t xml:space="preserve">neha D:
Mom's operation</t>
      </text>
    </comment>
    <comment authorId="0" ref="K23">
      <text>
        <t xml:space="preserve">VAISHALI N: CALLED UP TOLD THAT HAVE INFORMED NEETA WILL BE COMING LATE AND COMELETING 10 HOURS.
</t>
      </text>
    </comment>
    <comment authorId="0" ref="L23">
      <text>
        <t xml:space="preserve">Neha D:Will leave at 4.00 pm informed neeta
</t>
      </text>
    </comment>
    <comment authorId="0" ref="J24">
      <text>
        <t xml:space="preserve">Vinod N:DID DOUBLE SHIFT
</t>
      </text>
    </comment>
    <comment authorId="0" ref="L25">
      <text>
        <t xml:space="preserve">Neha D: Will come late will cover 10 hours
</t>
      </text>
    </comment>
    <comment authorId="0" ref="M25">
      <text>
        <t xml:space="preserve">nairv:
DID THE DOUBLE SHIFT</t>
      </text>
    </comment>
    <comment authorId="0" ref="G28">
      <text>
        <t xml:space="preserve">vinod n:
injury in knee</t>
      </text>
    </comment>
    <comment authorId="0" ref="H29">
      <text>
        <t xml:space="preserve">Neha D:Had informed that he is not coming -hemant\neha
</t>
      </text>
    </comment>
    <comment authorId="0" ref="J29">
      <text>
        <t xml:space="preserve">vaishali n: called up no response
</t>
      </text>
    </comment>
    <comment authorId="0" ref="L29">
      <text>
        <t xml:space="preserve">Neha D:Had informed that he is not coming -hemant\neha
</t>
      </text>
    </comment>
    <comment authorId="0" ref="E30">
      <text>
        <t xml:space="preserve">hemant : wo adjusted as was called in for shift on 30th of aug
</t>
      </text>
    </comment>
    <comment authorId="0" ref="I30">
      <text>
        <t xml:space="preserve">hemant: WO adjusted for 7 sept </t>
      </text>
    </comment>
    <comment authorId="0" ref="J30">
      <text>
        <t xml:space="preserve">Vinod N:
WO moved to 6 th sept</t>
      </text>
    </comment>
    <comment authorId="0" ref="G31">
      <text>
        <t xml:space="preserve">Neeta 
DID A DOUBLE SHIFT 
</t>
      </text>
    </comment>
    <comment authorId="0" ref="I32">
      <text>
        <t xml:space="preserve">Neeta :will be late 
complete 10 Hrs</t>
      </text>
    </comment>
    <comment authorId="0" ref="K32">
      <text>
        <t xml:space="preserve">Neeta faimly issue AFTER THAT CAME FOR 2 HOURS OF LOG IN.
</t>
      </text>
    </comment>
    <comment authorId="0" ref="N32">
      <text>
        <t xml:space="preserve">coming late will complete 10 hrs</t>
      </text>
    </comment>
    <comment authorId="0" ref="L35">
      <text>
        <t xml:space="preserve">Neha D: Will come late will cover 10 hours
</t>
      </text>
    </comment>
    <comment authorId="0" ref="F36">
      <text>
        <t xml:space="preserve">Neeta :
Will not come granthfather expired</t>
      </text>
    </comment>
    <comment authorId="0" ref="L36">
      <text>
        <t xml:space="preserve">Neha D: Will come late will cover 10 hours
</t>
      </text>
    </comment>
    <comment authorId="0" ref="H37">
      <text>
        <t xml:space="preserve">Neha D:COUSIN PASSED AWAY IS NOT GOING TO COME FOR 2 DAYS INFORMED NEETA
</t>
      </text>
    </comment>
    <comment authorId="0" ref="K37">
      <text>
        <t xml:space="preserve">Neha D:COUSIN PASSED AWAY IS NOT GOING TO COME FOR 2 DAYS INFORMED NEETA
</t>
      </text>
    </comment>
    <comment authorId="0" ref="E38">
      <text>
        <t xml:space="preserve">Neha D:Coming late will cover 10hours
</t>
      </text>
    </comment>
    <comment authorId="0" ref="G38">
      <text>
        <t xml:space="preserve">vinod n:
SWAPPED WITH Nitin W</t>
      </text>
    </comment>
    <comment authorId="0" ref="J38">
      <text>
        <t xml:space="preserve">Neeta : is coming at  8 am will complet 10 hrs</t>
      </text>
    </comment>
    <comment authorId="0" ref="N38">
      <text>
        <t xml:space="preserve">Vinod N:
coming late will complete 10 hrs</t>
      </text>
    </comment>
    <comment authorId="0" ref="F39">
      <text>
        <t xml:space="preserve">Neha D:No answer
</t>
      </text>
    </comment>
    <comment authorId="0" ref="L39">
      <text>
        <t xml:space="preserve">Neha D: Will come late will cover 10 hours
</t>
      </text>
    </comment>
    <comment authorId="0" ref="G41">
      <text>
        <t xml:space="preserve">vinod n:
no not rechable\had to take mom to the hospital</t>
      </text>
    </comment>
    <comment authorId="0" ref="F42">
      <text>
        <t xml:space="preserve">neeta ;is coming late 
</t>
      </text>
    </comment>
    <comment authorId="0" ref="D46">
      <text>
        <t xml:space="preserve">NEHA D:Coming Late will cover 10 Hrs
</t>
      </text>
    </comment>
    <comment authorId="0" ref="K47">
      <text>
        <t xml:space="preserve">Neha D:Comp off which was pending given- approved by vinod
</t>
      </text>
    </comment>
    <comment authorId="0" ref="L47">
      <text>
        <t xml:space="preserve">Neha D:WO swapped with rajnikant hiwale [3rd Sep to 9th Sep]
</t>
      </text>
    </comment>
    <comment authorId="0" ref="M48">
      <text>
        <t xml:space="preserve">Veena :
NOT WELL</t>
      </text>
    </comment>
    <comment authorId="0" ref="H49">
      <text>
        <t xml:space="preserve">Neha D:Uncle passed away\Approved by vinod
</t>
      </text>
    </comment>
    <comment authorId="0" ref="K50">
      <text>
        <t xml:space="preserve">Neha D:WO swapped with farooq from 7th to 9th
</t>
      </text>
    </comment>
    <comment authorId="0" ref="M50">
      <text>
        <t xml:space="preserve">VAISHALI N: CALLED UP NO INFO-not well informed neha
</t>
      </text>
    </comment>
    <comment authorId="0" ref="N50">
      <text>
        <t xml:space="preserve">VAISHALI N: CALLED UP PHONE SWITCHED OFF.Not well informed neha
</t>
      </text>
    </comment>
    <comment authorId="0" ref="D51">
      <text>
        <t xml:space="preserve">Neha D:No answer
</t>
      </text>
    </comment>
    <comment authorId="0" ref="E51">
      <text>
        <t xml:space="preserve">Neha D:Not well Asthma problem
</t>
      </text>
    </comment>
    <comment authorId="0" ref="H52">
      <text>
        <t xml:space="preserve">Neha D:PL approved by vinod
</t>
      </text>
    </comment>
    <comment authorId="0" ref="F58">
      <text>
        <t xml:space="preserve">Neha D :
not coming he is out of town</t>
      </text>
    </comment>
    <comment authorId="0" ref="M59">
      <text>
        <t xml:space="preserve">nairv:
had a w.o  but called for the shift as 2 agents were AB.</t>
      </text>
    </comment>
    <comment authorId="0" ref="H60">
      <text>
        <t xml:space="preserve">Neha D:will be doing a night tomorrow onwards
</t>
      </text>
    </comment>
    <comment authorId="0" ref="G61">
      <text>
        <t xml:space="preserve">vinod n:
not picking up the call</t>
      </text>
    </comment>
    <comment authorId="0" ref="H61">
      <text>
        <t xml:space="preserve">VAISHALI N: CALLED UP NO RESPONSE
</t>
      </text>
    </comment>
    <comment authorId="0" ref="K62">
      <text>
        <t xml:space="preserve">VAISHALI N: CALLED UP COMING FOR 2 HOURS.
</t>
      </text>
    </comment>
    <comment authorId="0" ref="D64">
      <text>
        <t xml:space="preserve">NEHA D:Coming late will cover 10hrs
</t>
      </text>
    </comment>
    <comment authorId="0" ref="N64">
      <text>
        <t xml:space="preserve">Veena :
Did double shift.
</t>
      </text>
    </comment>
    <comment authorId="0" ref="E66">
      <text>
        <t xml:space="preserve">VAISHALI N: FATHER IN LAW EXPIRED SO HAS TO GO TO NATIVE PLACE
</t>
      </text>
    </comment>
    <comment authorId="0" ref="F66">
      <text>
        <t xml:space="preserve">VAISHALI N: FATHER IN LAW EXPIRED SO HAS TO GO TO NATIVE PLACE
</t>
      </text>
    </comment>
    <comment authorId="0" ref="G66">
      <text>
        <t xml:space="preserve">VAISHALI N: FATHER IN LAW EXPIRED SO HAS TO GO TO NATIVE PLACE
</t>
      </text>
    </comment>
    <comment authorId="0" ref="H66">
      <text>
        <t xml:space="preserve">VAISHALI N: FATHER IN LAW EXPIRED SO HAS TO GO TO NATIVE PLACE
</t>
      </text>
    </comment>
    <comment authorId="0" ref="I66">
      <text>
        <t xml:space="preserve">VAISHALI N: FATHER IN LAW EXPIRED SO HAS TO GO TO NATIVE PLACE
</t>
      </text>
    </comment>
    <comment authorId="0" ref="J66">
      <text>
        <t xml:space="preserve">VAISHALI N: FATHER IN LAW EXPIRED SO HAS TO GO TO NATIVE PLACE
</t>
      </text>
    </comment>
    <comment authorId="0" ref="K66">
      <text>
        <t xml:space="preserve">VAISHALI N: FATHER IN LAW EXPIRED SO HAS TO GO TO NATIVE PLACE
</t>
      </text>
    </comment>
    <comment authorId="0" ref="L66">
      <text>
        <t xml:space="preserve">VAISHALI N: FATHER IN LAW EXPIRED SO HAS TO GO TO NATIVE PLACE
</t>
      </text>
    </comment>
    <comment authorId="0" ref="D67">
      <text>
        <t xml:space="preserve">Neha D:Cousin passed away
</t>
      </text>
    </comment>
    <comment authorId="0" ref="E67">
      <text>
        <t xml:space="preserve">Neha D:Cousin passed away
</t>
      </text>
    </comment>
    <comment authorId="0" ref="F67">
      <text>
        <t xml:space="preserve">Neha D:Cousin passed away
</t>
      </text>
    </comment>
    <comment authorId="0" ref="G67">
      <text>
        <t xml:space="preserve">Neha D:Cousin passed away
</t>
      </text>
    </comment>
    <comment authorId="0" ref="I67">
      <text>
        <t xml:space="preserve">Neha D:Cousin passed away
</t>
      </text>
    </comment>
    <comment authorId="0" ref="J67">
      <text>
        <t xml:space="preserve">Neha D:Cousin passed away
</t>
      </text>
    </comment>
    <comment authorId="0" ref="K67">
      <text>
        <t xml:space="preserve">Neha D:Cousin passed away
</t>
      </text>
    </comment>
    <comment authorId="0" ref="L67">
      <text>
        <t xml:space="preserve">Neha D:Cousin passed away
</t>
      </text>
    </comment>
    <comment authorId="0" ref="M67">
      <text>
        <t xml:space="preserve">Neha D:Cousin passed away
</t>
      </text>
    </comment>
    <comment authorId="0" ref="N67">
      <text>
        <t xml:space="preserve">Neha D:Cousin passed away
</t>
      </text>
    </comment>
    <comment authorId="0" ref="G69">
      <text>
        <t xml:space="preserve">vinod n:
COMING LATE COVER 10HRS</t>
      </text>
    </comment>
    <comment authorId="0" ref="D70">
      <text>
        <t xml:space="preserve">Neha D:Coming late missed the transport
</t>
      </text>
    </comment>
    <comment authorId="0" ref="J70">
      <text>
        <t xml:space="preserve">Vinod N:
WILL BE COMING LATE WILL COVER 10 HRS</t>
      </text>
    </comment>
    <comment authorId="0" ref="K70">
      <text>
        <t xml:space="preserve">Neha D:Coming late will cover 10 hours
</t>
      </text>
    </comment>
    <comment authorId="0" ref="M70">
      <text>
        <t xml:space="preserve">VAISHALI N: TRANSPORT COMING LATE
</t>
      </text>
    </comment>
    <comment authorId="0" ref="G71">
      <text>
        <t xml:space="preserve">Neeta : not feeling well
</t>
      </text>
    </comment>
    <comment authorId="0" ref="L71">
      <text>
        <t xml:space="preserve">vinod n:
no info</t>
      </text>
    </comment>
    <comment authorId="0" ref="D72">
      <text>
        <t xml:space="preserve">NEHA D:Coming late informed vaishali- mom not well
</t>
      </text>
    </comment>
    <comment authorId="0" ref="E72">
      <text>
        <t xml:space="preserve">VAISHALI N: COMING LATE WILL COVER STAFF TIME.
</t>
      </text>
    </comment>
    <comment authorId="0" ref="H72">
      <text>
        <t xml:space="preserve">NEHA D:ACCIDENT
</t>
      </text>
    </comment>
    <comment authorId="0" ref="D73">
      <text>
        <t xml:space="preserve">Neha D:not well
</t>
      </text>
    </comment>
    <comment authorId="0" ref="F73">
      <text>
        <t xml:space="preserve">Neeta : came at 7:00 am
</t>
      </text>
    </comment>
    <comment authorId="0" ref="H73">
      <text>
        <t xml:space="preserve">VAISHALI N: CALLED UP NO INFO
</t>
      </text>
    </comment>
    <comment authorId="0" ref="I73">
      <text>
        <t xml:space="preserve">Vaishali n: calle dup no info
</t>
      </text>
    </comment>
    <comment authorId="0" ref="J73">
      <text>
        <t xml:space="preserve">VAISHALI N: CALLED UP NO INFO.
</t>
      </text>
    </comment>
    <comment authorId="0" ref="K73">
      <text>
        <t xml:space="preserve">VAISHALI N: CALLED UP NOR REACHABLE.
</t>
      </text>
    </comment>
    <comment authorId="0" ref="M73">
      <text>
        <t xml:space="preserve">VAISHALI N: CALLED UP NO INFO
</t>
      </text>
    </comment>
    <comment authorId="0" ref="F77">
      <text>
        <t xml:space="preserve">Vinod N:
CAME LATE WILL COMPLETE 10 HRS</t>
      </text>
    </comment>
    <comment authorId="0" ref="H77">
      <text>
        <t xml:space="preserve">NEHA D:NO ANSWER
</t>
      </text>
    </comment>
    <comment authorId="0" ref="K77">
      <text>
        <t xml:space="preserve">vinod n:
no info</t>
      </text>
    </comment>
    <comment authorId="0" ref="L77">
      <text>
        <t xml:space="preserve">vinod n:
no info</t>
      </text>
    </comment>
    <comment authorId="0" ref="M77">
      <text>
        <t xml:space="preserve">VAISHALI N: CALLED UP NO INFO
</t>
      </text>
    </comment>
    <comment authorId="0" ref="N77">
      <text>
        <t xml:space="preserve">Neeta :
gave call not felling well having maleria
</t>
      </text>
    </comment>
    <comment authorId="0" ref="M80">
      <text>
        <t xml:space="preserve">VAISHALI N: WILL COME LATE AND COMPLETE 10 HOURS.
</t>
      </text>
    </comment>
    <comment authorId="0" ref="E81">
      <text>
        <t xml:space="preserve">Neha D:not well 
</t>
      </text>
    </comment>
    <comment authorId="0" ref="N81">
      <text>
        <t xml:space="preserve">Vinod N:
coming late will complete 10 hrs</t>
      </text>
    </comment>
    <comment authorId="0" ref="F87">
      <text>
        <t xml:space="preserve">VAISHALI N: CAME LATE WILL COVER 10 HOURS.
</t>
      </text>
    </comment>
    <comment authorId="0" ref="G87">
      <text>
        <t xml:space="preserve">vinod n:
not picking up the phone</t>
      </text>
    </comment>
    <comment authorId="0" ref="M87">
      <text>
        <t xml:space="preserve">VAISHALI N: CALLED UP NO INFO
</t>
      </text>
    </comment>
    <comment authorId="0" ref="H89">
      <text>
        <t xml:space="preserve">VAISHALI N: COMING LATE WILL COMPLETE 10 HOURS.
</t>
      </text>
    </comment>
  </commentList>
</comments>
</file>

<file path=xl/sharedStrings.xml><?xml version="1.0" encoding="utf-8"?>
<sst xmlns="http://schemas.openxmlformats.org/spreadsheetml/2006/main" count="2167" uniqueCount="412">
  <si>
    <t>Write the TL's Name using formula</t>
  </si>
  <si>
    <t>1)</t>
  </si>
  <si>
    <t>Agents Name</t>
  </si>
  <si>
    <t>TL's Name</t>
  </si>
  <si>
    <t>Amip Naik</t>
  </si>
  <si>
    <t>Ishika Gurav</t>
  </si>
  <si>
    <t>Dhirendra Bhujade</t>
  </si>
  <si>
    <t>Sushil Pawar</t>
  </si>
  <si>
    <t>Milind Gawai</t>
  </si>
  <si>
    <t>Seema Khutade</t>
  </si>
  <si>
    <t>Ashwin Waghela</t>
  </si>
  <si>
    <t>Sangeeta Dsouza</t>
  </si>
  <si>
    <t>Avinash Gaikwad</t>
  </si>
  <si>
    <t>Rahul Mhatre</t>
  </si>
  <si>
    <t>Kapil Daware</t>
  </si>
  <si>
    <t xml:space="preserve">2) </t>
  </si>
  <si>
    <t>Sum of Calls Answered By Team</t>
  </si>
  <si>
    <t>Team Leader</t>
  </si>
  <si>
    <t>Sum Of Call</t>
  </si>
  <si>
    <t>Amit Mayekar</t>
  </si>
  <si>
    <t>Karthik Iyer</t>
  </si>
  <si>
    <t>Harshad</t>
  </si>
  <si>
    <t>Sachin G</t>
  </si>
  <si>
    <t>Ranjeeta</t>
  </si>
  <si>
    <t>3)</t>
  </si>
  <si>
    <t>Creat a pivot and get the total no of agents under each TL.</t>
  </si>
  <si>
    <t>Count</t>
  </si>
  <si>
    <t>Dinesh</t>
  </si>
  <si>
    <t>Nishi</t>
  </si>
  <si>
    <t>Swapna Dalvi</t>
  </si>
  <si>
    <t>Arshi</t>
  </si>
  <si>
    <t>Shraddha</t>
  </si>
  <si>
    <t>Sachin K</t>
  </si>
  <si>
    <t>4)</t>
  </si>
  <si>
    <t>Combine the Name and Last Name</t>
  </si>
  <si>
    <t>Abhinay</t>
  </si>
  <si>
    <t>Dhotre</t>
  </si>
  <si>
    <t>Rahul</t>
  </si>
  <si>
    <t>Chavan</t>
  </si>
  <si>
    <t>Vishal</t>
  </si>
  <si>
    <t>Murthy</t>
  </si>
  <si>
    <t>Jayesh</t>
  </si>
  <si>
    <t>Bane</t>
  </si>
  <si>
    <t>Manoj</t>
  </si>
  <si>
    <t>Sonicha</t>
  </si>
  <si>
    <t>Prathamesh</t>
  </si>
  <si>
    <t>Champaner</t>
  </si>
  <si>
    <t>Chandrakant</t>
  </si>
  <si>
    <t>Sarkale</t>
  </si>
  <si>
    <t>Rajnish</t>
  </si>
  <si>
    <t>Barnwal</t>
  </si>
  <si>
    <t>Sunil</t>
  </si>
  <si>
    <t>Fulkar</t>
  </si>
  <si>
    <t>Muthuvel</t>
  </si>
  <si>
    <t>Nadar</t>
  </si>
  <si>
    <t>5)</t>
  </si>
  <si>
    <t>Highlight Agents with AHT greater then 0:02:00</t>
  </si>
  <si>
    <t>done</t>
  </si>
  <si>
    <t>6)</t>
  </si>
  <si>
    <t>Write the CSR's name Using Formula</t>
  </si>
  <si>
    <t>7)</t>
  </si>
  <si>
    <t>Write the day of the date using formula only</t>
  </si>
  <si>
    <t>Day</t>
  </si>
  <si>
    <t>Month</t>
  </si>
  <si>
    <t>Year</t>
  </si>
  <si>
    <t>8)</t>
  </si>
  <si>
    <t>Prepare graph showing trend for CSAT and FLC showing values</t>
  </si>
  <si>
    <t>CSR</t>
  </si>
  <si>
    <t>Tagging %</t>
  </si>
  <si>
    <t>FLC %</t>
  </si>
  <si>
    <t>Abhijeet Joshi</t>
  </si>
  <si>
    <t>Abhinay Dhotre</t>
  </si>
  <si>
    <t>Ajay Gyanchandani</t>
  </si>
  <si>
    <t>Ajay Paramshali</t>
  </si>
  <si>
    <t>Ajit Singh</t>
  </si>
  <si>
    <t>Alka Achat</t>
  </si>
  <si>
    <t>Amir Dalvi</t>
  </si>
  <si>
    <t>Amit Baria</t>
  </si>
  <si>
    <t>Amit Ghume</t>
  </si>
  <si>
    <t>9)</t>
  </si>
  <si>
    <t>Write in the Proper case</t>
  </si>
  <si>
    <t>MAYURI SHENAI</t>
  </si>
  <si>
    <t>GIRISH Joshi</t>
  </si>
  <si>
    <t>anil kapOOr</t>
  </si>
  <si>
    <t>mukesh PooJARI</t>
  </si>
  <si>
    <t>Hanif Shaikh</t>
  </si>
  <si>
    <t>10)</t>
  </si>
  <si>
    <t>Separate the name and Surname of the CSR</t>
  </si>
  <si>
    <t>Ashishkumar Rajani</t>
  </si>
  <si>
    <t>Ashit Shinde</t>
  </si>
  <si>
    <t>Jayaa Gaur</t>
  </si>
  <si>
    <t>Pritesh Jain</t>
  </si>
  <si>
    <t>Ragupathy S</t>
  </si>
  <si>
    <t>Sagar Walunj</t>
  </si>
  <si>
    <t>Shaikh Ali</t>
  </si>
  <si>
    <t>11)</t>
  </si>
  <si>
    <t>Use Rank formula , rank the csr</t>
  </si>
  <si>
    <t>Tagging</t>
  </si>
  <si>
    <t>G115=RANK(C117,B117:C126,</t>
  </si>
  <si>
    <t>Amit Raut</t>
  </si>
  <si>
    <t>Amit Mane</t>
  </si>
  <si>
    <t>Amol Petkar</t>
  </si>
  <si>
    <t>12)</t>
  </si>
  <si>
    <t>Change the Colour for below mentioned names</t>
  </si>
  <si>
    <t xml:space="preserve">   </t>
  </si>
  <si>
    <t>13)</t>
  </si>
  <si>
    <t>Calculate the Precentage Of C-Sat for the below mention CSR's with the help of Yes ann No Count Using Formula</t>
  </si>
  <si>
    <t>CSR Name</t>
  </si>
  <si>
    <t>Sum of Qst1Yes</t>
  </si>
  <si>
    <t>Sum of Qst1No</t>
  </si>
  <si>
    <t>Percentage</t>
  </si>
  <si>
    <t>Paskol Rodrigues</t>
  </si>
  <si>
    <t>Ravi  Gowda</t>
  </si>
  <si>
    <t>Pravin J Swami</t>
  </si>
  <si>
    <t>Varsha Bhosale</t>
  </si>
  <si>
    <t>Vidya K Katija</t>
  </si>
  <si>
    <t>14)</t>
  </si>
  <si>
    <t>Find out the shrinkage percentage Shift wise and Overall (absentism in Prencentage)</t>
  </si>
  <si>
    <t>Shifts</t>
  </si>
  <si>
    <t>Scheduled</t>
  </si>
  <si>
    <t>Present</t>
  </si>
  <si>
    <t>Absentism in percentage</t>
  </si>
  <si>
    <t>absent</t>
  </si>
  <si>
    <t>M</t>
  </si>
  <si>
    <t>G</t>
  </si>
  <si>
    <t>E</t>
  </si>
  <si>
    <t>N</t>
  </si>
  <si>
    <t xml:space="preserve"> </t>
  </si>
  <si>
    <t>15)</t>
  </si>
  <si>
    <t>Count the number of blank cell using formula</t>
  </si>
  <si>
    <t>Hanif</t>
  </si>
  <si>
    <t>Anil</t>
  </si>
  <si>
    <t>Sohail</t>
  </si>
  <si>
    <t>Ans</t>
  </si>
  <si>
    <t>&lt;--------</t>
  </si>
  <si>
    <t xml:space="preserve">  </t>
  </si>
  <si>
    <t>16)</t>
  </si>
  <si>
    <t>Highlight the interval where SLA has not been met ( 80%)…. Also mention the count of the interval using formula</t>
  </si>
  <si>
    <t>Time</t>
  </si>
  <si>
    <t>SLA</t>
  </si>
  <si>
    <t>17)</t>
  </si>
  <si>
    <t>Count Present and Absent from the Attandance Sheet</t>
  </si>
  <si>
    <t>18)</t>
  </si>
  <si>
    <t>Find out the time differece with + or - sign</t>
  </si>
  <si>
    <t>Time 1</t>
  </si>
  <si>
    <t>Time 2</t>
  </si>
  <si>
    <t>Difference</t>
  </si>
  <si>
    <t>doubt</t>
  </si>
  <si>
    <t>19)</t>
  </si>
  <si>
    <t>Make a validation using below parameter</t>
  </si>
  <si>
    <t>Contactable</t>
  </si>
  <si>
    <t>Not Contactable</t>
  </si>
  <si>
    <t>Interested</t>
  </si>
  <si>
    <t>Busy</t>
  </si>
  <si>
    <t>Not Interested</t>
  </si>
  <si>
    <t>Not reachable</t>
  </si>
  <si>
    <t>Call Back</t>
  </si>
  <si>
    <t>Ringing</t>
  </si>
  <si>
    <t>Refuse to Talk</t>
  </si>
  <si>
    <t>Switched off</t>
  </si>
  <si>
    <t>Cust Not Avble</t>
  </si>
  <si>
    <t>Temp out of Service</t>
  </si>
  <si>
    <t>Wrong No</t>
  </si>
  <si>
    <t>Incorrect No</t>
  </si>
  <si>
    <t>Others</t>
  </si>
  <si>
    <t>`</t>
  </si>
  <si>
    <t>Agent Name</t>
  </si>
  <si>
    <t>Process</t>
  </si>
  <si>
    <t>Avaya ID</t>
  </si>
  <si>
    <t>TL Name</t>
  </si>
  <si>
    <t>Wave</t>
  </si>
  <si>
    <t>Date</t>
  </si>
  <si>
    <t>Call Ans</t>
  </si>
  <si>
    <t>AHT</t>
  </si>
  <si>
    <t>Other Time</t>
  </si>
  <si>
    <t>AUX Time</t>
  </si>
  <si>
    <t>Staffed Time</t>
  </si>
  <si>
    <t>Trans Out</t>
  </si>
  <si>
    <t>Held Calls</t>
  </si>
  <si>
    <t>CSAT %</t>
  </si>
  <si>
    <t>Inbound</t>
  </si>
  <si>
    <t>Wave 3</t>
  </si>
  <si>
    <t>Wave 2</t>
  </si>
  <si>
    <t>Outbound</t>
  </si>
  <si>
    <t>Wave 1</t>
  </si>
  <si>
    <t>Amol Tupe</t>
  </si>
  <si>
    <t>Anand Navale</t>
  </si>
  <si>
    <t>Anil Narsale</t>
  </si>
  <si>
    <t>Aniruddha Kotian</t>
  </si>
  <si>
    <t>Ashish Bangera</t>
  </si>
  <si>
    <t>Ashish Sharma</t>
  </si>
  <si>
    <t>Avinash Khot</t>
  </si>
  <si>
    <t>Avinash Waghmare</t>
  </si>
  <si>
    <t>Wave 4</t>
  </si>
  <si>
    <t>Bhushan Gangurde</t>
  </si>
  <si>
    <t>Chandan Thewar</t>
  </si>
  <si>
    <t>Chandrakant Sarkale</t>
  </si>
  <si>
    <t>chetan Cheulkar</t>
  </si>
  <si>
    <t>Darshan Warke</t>
  </si>
  <si>
    <t>Sachin Hundare</t>
  </si>
  <si>
    <t>Dattatraya Kumble</t>
  </si>
  <si>
    <t>Deepak Patil</t>
  </si>
  <si>
    <t>Deepak Singh</t>
  </si>
  <si>
    <t>Wave 5</t>
  </si>
  <si>
    <t>Denis Dedhia</t>
  </si>
  <si>
    <t>Devang Khira</t>
  </si>
  <si>
    <t>Dhairyashil Rane</t>
  </si>
  <si>
    <t>Kim</t>
  </si>
  <si>
    <t>Dipak Mali</t>
  </si>
  <si>
    <t>Firoz Khan</t>
  </si>
  <si>
    <t>Ganesh Jadhav</t>
  </si>
  <si>
    <t>Harsh Shukla</t>
  </si>
  <si>
    <t>Hitesh Loke</t>
  </si>
  <si>
    <t>Imran Shaikh</t>
  </si>
  <si>
    <t>Jacinta Baretto</t>
  </si>
  <si>
    <t>Jayesh Bane</t>
  </si>
  <si>
    <t>Jignasha Chauhan</t>
  </si>
  <si>
    <t>Kalpesh Gangurde</t>
  </si>
  <si>
    <t>Kanchan Gantellu</t>
  </si>
  <si>
    <t>Kavita Mishra</t>
  </si>
  <si>
    <t>Kishor Galipelly</t>
  </si>
  <si>
    <t>Kishor Ganbas</t>
  </si>
  <si>
    <t>Kumed Chirlekar</t>
  </si>
  <si>
    <t>Mandar Patil</t>
  </si>
  <si>
    <t>Manoj Sonicha</t>
  </si>
  <si>
    <t>Mayur Hingoo</t>
  </si>
  <si>
    <t>Mayur Sonawane</t>
  </si>
  <si>
    <t>Meena Halemani</t>
  </si>
  <si>
    <t>Miten Achrekar</t>
  </si>
  <si>
    <t>Moses Clare</t>
  </si>
  <si>
    <t>Muthuvel Nadar</t>
  </si>
  <si>
    <t>Nainesh Saidane</t>
  </si>
  <si>
    <t>Omkar Mulekar</t>
  </si>
  <si>
    <t>Paren Shah</t>
  </si>
  <si>
    <t>Prakash Parmar</t>
  </si>
  <si>
    <t>Praneet Rasaikar</t>
  </si>
  <si>
    <t>Prashant Kadam</t>
  </si>
  <si>
    <t>Prateek Joshi</t>
  </si>
  <si>
    <t>Prathamesh Champaner</t>
  </si>
  <si>
    <t>Pratik Joshi</t>
  </si>
  <si>
    <t>Priyanka Kadam</t>
  </si>
  <si>
    <t>Radhika Chemburkar</t>
  </si>
  <si>
    <t>Rafique Shaikh</t>
  </si>
  <si>
    <t>Rahul Chavan</t>
  </si>
  <si>
    <t>Rahul More</t>
  </si>
  <si>
    <t>Rajesh Alhat</t>
  </si>
  <si>
    <t>Rajnish Barnwal</t>
  </si>
  <si>
    <t>Ramesh Nikam</t>
  </si>
  <si>
    <t>Ravikant Sharma</t>
  </si>
  <si>
    <t>Ravindra Kharwate</t>
  </si>
  <si>
    <t>Rhushikesh Toraskar</t>
  </si>
  <si>
    <t>Ritesh Churi</t>
  </si>
  <si>
    <t>Ritesh Karshikar</t>
  </si>
  <si>
    <t>Neha</t>
  </si>
  <si>
    <t>Robin Gahukamble</t>
  </si>
  <si>
    <t>Rohit Dalvi</t>
  </si>
  <si>
    <t>Romil Modi</t>
  </si>
  <si>
    <t>Sandesh Shetty</t>
  </si>
  <si>
    <t>Santosh Oghale</t>
  </si>
  <si>
    <t>Savan Patil</t>
  </si>
  <si>
    <t>Shaffi Kulkarni</t>
  </si>
  <si>
    <t>Shahanawaz Shaikh</t>
  </si>
  <si>
    <t>Shashikant Chandanshive</t>
  </si>
  <si>
    <t>Shekhar Ghodeswar</t>
  </si>
  <si>
    <t>Shekhar Ramanna</t>
  </si>
  <si>
    <t>Shilpa Sonawane</t>
  </si>
  <si>
    <t>Shimol Kapashi</t>
  </si>
  <si>
    <t>Shruti Vichare</t>
  </si>
  <si>
    <t>Sonali Vaidya</t>
  </si>
  <si>
    <t>Spruha Ramteke</t>
  </si>
  <si>
    <t>Suhas Lad</t>
  </si>
  <si>
    <t>Sunil Fulkar</t>
  </si>
  <si>
    <t>Sunil Pawar</t>
  </si>
  <si>
    <t>Sunil Pillai</t>
  </si>
  <si>
    <t>Fsa</t>
  </si>
  <si>
    <t>Sushma Gaikwad</t>
  </si>
  <si>
    <t>Swapnali Sawant</t>
  </si>
  <si>
    <t>Tamanna Monga</t>
  </si>
  <si>
    <t>Tejas Mulekar</t>
  </si>
  <si>
    <t>Trupti Salvi</t>
  </si>
  <si>
    <t>Vaibhav Salvi</t>
  </si>
  <si>
    <t>Venkatesh Kadam</t>
  </si>
  <si>
    <t>Vijay Tawale</t>
  </si>
  <si>
    <t>Vijeta Adesera</t>
  </si>
  <si>
    <t>Vishal Murthy</t>
  </si>
  <si>
    <t>Vishal Narkhede</t>
  </si>
  <si>
    <t>Vishal Salvi</t>
  </si>
  <si>
    <t>Yogesh Bhalerao</t>
  </si>
  <si>
    <t>Yogesh Shinde</t>
  </si>
  <si>
    <t>SUM of Call Ans</t>
  </si>
  <si>
    <t>COUNTA of Agent Name</t>
  </si>
  <si>
    <t>Grand Total</t>
  </si>
  <si>
    <t>a</t>
  </si>
  <si>
    <t>CSA Name</t>
  </si>
  <si>
    <t>Employee Code</t>
  </si>
  <si>
    <t>1st Sept</t>
  </si>
  <si>
    <t>2nd Sept</t>
  </si>
  <si>
    <t>3rd Sept</t>
  </si>
  <si>
    <t>4th Sept</t>
  </si>
  <si>
    <t>5th Sept</t>
  </si>
  <si>
    <t>6th Sept</t>
  </si>
  <si>
    <t>7th Sept</t>
  </si>
  <si>
    <t>8th Sept</t>
  </si>
  <si>
    <t>9th Sept</t>
  </si>
  <si>
    <t>10th Sept</t>
  </si>
  <si>
    <t>11th Sept</t>
  </si>
  <si>
    <t>Sat</t>
  </si>
  <si>
    <t>Sun</t>
  </si>
  <si>
    <t>Mon</t>
  </si>
  <si>
    <t>Tue</t>
  </si>
  <si>
    <t>Wed</t>
  </si>
  <si>
    <t>Thu</t>
  </si>
  <si>
    <t>Fri</t>
  </si>
  <si>
    <t>Count Present</t>
  </si>
  <si>
    <t>Count Absent</t>
  </si>
  <si>
    <t>Farooq Bagdad</t>
  </si>
  <si>
    <t>LWP</t>
  </si>
  <si>
    <t>OFF</t>
  </si>
  <si>
    <t>P</t>
  </si>
  <si>
    <t>AB</t>
  </si>
  <si>
    <t>Mangal Bhosle</t>
  </si>
  <si>
    <t>WO</t>
  </si>
  <si>
    <t>Rajnikant Hiwale</t>
  </si>
  <si>
    <t>Vishal Purohit</t>
  </si>
  <si>
    <t>Ajit Tiwari</t>
  </si>
  <si>
    <t>Chandan Borgawkar</t>
  </si>
  <si>
    <t>Dnyanesh Sawant</t>
  </si>
  <si>
    <t>Kusum Shetty</t>
  </si>
  <si>
    <t>Laxmi Ware</t>
  </si>
  <si>
    <t>Pradeep Mulik</t>
  </si>
  <si>
    <t>Rajkumar Madliar</t>
  </si>
  <si>
    <t>SHUBHANGINI PALWE</t>
  </si>
  <si>
    <t>Varsha Patil</t>
  </si>
  <si>
    <t>Vijay Singh</t>
  </si>
  <si>
    <t>Anand Mishra</t>
  </si>
  <si>
    <t>Ramesh More</t>
  </si>
  <si>
    <t>PL</t>
  </si>
  <si>
    <t>Anjali Joshi</t>
  </si>
  <si>
    <t>Ashwin Kelkar</t>
  </si>
  <si>
    <t>Ronnie Mali</t>
  </si>
  <si>
    <t>Roopali Savekar</t>
  </si>
  <si>
    <t>Sachin Acharya</t>
  </si>
  <si>
    <t>Sanjay Mayekar</t>
  </si>
  <si>
    <t>Abhijeet Alat</t>
  </si>
  <si>
    <t>KALPESH PITALE</t>
  </si>
  <si>
    <t>Pooja Jain</t>
  </si>
  <si>
    <t>Satej Koli</t>
  </si>
  <si>
    <t>Yogesh Jadhav</t>
  </si>
  <si>
    <t>Aaves Rakhey</t>
  </si>
  <si>
    <t>p</t>
  </si>
  <si>
    <t>Abhishek More</t>
  </si>
  <si>
    <t>Amit Kushte</t>
  </si>
  <si>
    <t>Girish Sakpal</t>
  </si>
  <si>
    <t>Josephine Fernandes</t>
  </si>
  <si>
    <t>Megha Ujagare</t>
  </si>
  <si>
    <t>POURNIMA KARANGUTKAR</t>
  </si>
  <si>
    <t>Prasad Bhoite</t>
  </si>
  <si>
    <t>Prathamesh Chavan</t>
  </si>
  <si>
    <t>Hemant Chilvante</t>
  </si>
  <si>
    <t>Abhishek Pujari</t>
  </si>
  <si>
    <t>Ketan Gaikwad</t>
  </si>
  <si>
    <t>Nitin Waghmare</t>
  </si>
  <si>
    <t>Rajesh Bhere</t>
  </si>
  <si>
    <t>Sachin Talekar</t>
  </si>
  <si>
    <t>Dhananjay Hatle</t>
  </si>
  <si>
    <t>Nazir Hussain</t>
  </si>
  <si>
    <t>VIPUL JADHAV</t>
  </si>
  <si>
    <t>Amleshwar Gaikwad</t>
  </si>
  <si>
    <t>Muzaffar Mujawar</t>
  </si>
  <si>
    <t>Nilesh Gurav</t>
  </si>
  <si>
    <t>Priya Maske</t>
  </si>
  <si>
    <t>Rahul Gole</t>
  </si>
  <si>
    <t>Ranjeet Mudaliyar</t>
  </si>
  <si>
    <t>Ravi Gowda</t>
  </si>
  <si>
    <t>Sushant Kumthekar</t>
  </si>
  <si>
    <t>Vishal Mehta</t>
  </si>
  <si>
    <t>Jitendra Palshetkar</t>
  </si>
  <si>
    <t>Santosh Deshpande</t>
  </si>
  <si>
    <t>Mahendra Pandya</t>
  </si>
  <si>
    <t>Mihir Bhoir</t>
  </si>
  <si>
    <t>Sachin Yerwalkar</t>
  </si>
  <si>
    <t>Sandeep Chikane</t>
  </si>
  <si>
    <t>Swapnil Navle</t>
  </si>
  <si>
    <t>Dhawal Singh</t>
  </si>
  <si>
    <t>Smita Pathak</t>
  </si>
  <si>
    <t>Suresh Vishwakarma</t>
  </si>
  <si>
    <t>Dhawall Shah</t>
  </si>
  <si>
    <t>Leena Bhanushali</t>
  </si>
  <si>
    <t>Reshma Diwadkar</t>
  </si>
  <si>
    <t>Sanjay Aiwale</t>
  </si>
  <si>
    <t>Sudhir Pawar</t>
  </si>
  <si>
    <t>Siddhesh Manjrekar</t>
  </si>
  <si>
    <t>Gaurav Koli</t>
  </si>
  <si>
    <t>Rupesh Khande</t>
  </si>
  <si>
    <t>Santosh Kalasgond</t>
  </si>
  <si>
    <t>Yogesh Javeri</t>
  </si>
  <si>
    <t>KIRAN BOBADE</t>
  </si>
  <si>
    <t>Mahesh Acharya</t>
  </si>
  <si>
    <t>NEERAJ YADAV</t>
  </si>
  <si>
    <t>Omkar Tithe</t>
  </si>
  <si>
    <t>Praful Lavangare</t>
  </si>
  <si>
    <t>Radhakrishna Namdar</t>
  </si>
  <si>
    <t>Sagar Nerlekar</t>
  </si>
  <si>
    <t>Surendra Dumbre</t>
  </si>
  <si>
    <t>SWAPNITA KORGAONKAR</t>
  </si>
  <si>
    <t>Tarlochan Chawla</t>
  </si>
  <si>
    <t>TUSHAR PANDIT</t>
  </si>
  <si>
    <t>Vijay Khandale</t>
  </si>
  <si>
    <t>YOGINI BHOIR</t>
  </si>
  <si>
    <t>present</t>
  </si>
  <si>
    <t>Absent</t>
  </si>
  <si>
    <t>SR. 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</si>
</sst>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m/yy"/>
    <numFmt numFmtId="165" formatCode="dd/mmm"/>
    <numFmt numFmtId="166" formatCode="dddd"/>
    <numFmt numFmtId="167" formatCode="[$-409]d/mmm"/>
    <numFmt numFmtId="168" formatCode="h:mm\ AM/PM"/>
  </numFmts>
  <fonts count="17">
    <font>
      <sz val="10.0"/>
      <color rgb="FF000000"/>
      <name val="Arial"/>
      <scheme val="minor"/>
    </font>
    <font>
      <sz val="8.0"/>
      <color theme="1"/>
      <name val="Arial"/>
    </font>
    <font>
      <b/>
      <sz val="8.0"/>
      <color rgb="FFFF0000"/>
      <name val="Arial"/>
    </font>
    <font>
      <b/>
      <sz val="8.0"/>
      <color theme="1"/>
      <name val="Arial"/>
    </font>
    <font>
      <sz val="8.0"/>
      <color theme="1"/>
      <name val="Arimo"/>
    </font>
    <font/>
    <font>
      <sz val="8.0"/>
      <color theme="1"/>
      <name val="Calibri"/>
    </font>
    <font>
      <sz val="8.0"/>
      <color rgb="FFFFFF00"/>
      <name val="Arial"/>
    </font>
    <font>
      <sz val="10.0"/>
      <color theme="1"/>
      <name val="Arial"/>
    </font>
    <font>
      <sz val="10.0"/>
      <color theme="1"/>
      <name val="Book Antiqua"/>
    </font>
    <font>
      <b/>
      <sz val="10.0"/>
      <color theme="1"/>
      <name val="Arial"/>
    </font>
    <font>
      <b/>
      <sz val="10.0"/>
      <color rgb="FF000000"/>
      <name val="Arial"/>
    </font>
    <font>
      <sz val="10.0"/>
      <color rgb="FF000000"/>
      <name val="Arial"/>
    </font>
    <font>
      <color theme="1"/>
      <name val="Arial"/>
      <scheme val="minor"/>
    </font>
    <font>
      <b/>
      <color rgb="FFFFFFFF"/>
      <name val="Arial"/>
      <scheme val="minor"/>
    </font>
    <font>
      <b/>
      <sz val="9.0"/>
      <color theme="1"/>
      <name val="Trebuchet MS"/>
    </font>
    <font>
      <sz val="9.0"/>
      <color theme="1"/>
      <name val="Trebuchet MS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00CCFF"/>
        <bgColor rgb="FF00CCFF"/>
      </patternFill>
    </fill>
    <fill>
      <patternFill patternType="solid">
        <fgColor rgb="FFC0C0C0"/>
        <bgColor rgb="FFC0C0C0"/>
      </patternFill>
    </fill>
    <fill>
      <patternFill patternType="solid">
        <fgColor rgb="FFFF0000"/>
        <bgColor rgb="FFFF0000"/>
      </patternFill>
    </fill>
    <fill>
      <patternFill patternType="solid">
        <fgColor rgb="FFFF99CC"/>
        <bgColor rgb="FFFF99CC"/>
      </patternFill>
    </fill>
    <fill>
      <patternFill patternType="solid">
        <fgColor rgb="FF33CCCC"/>
        <bgColor rgb="FF33CCCC"/>
      </patternFill>
    </fill>
    <fill>
      <patternFill patternType="solid">
        <fgColor rgb="FFF4CCCC"/>
        <bgColor rgb="FFF4CCCC"/>
      </patternFill>
    </fill>
  </fills>
  <borders count="2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readingOrder="0"/>
    </xf>
    <xf borderId="1" fillId="0" fontId="1" numFmtId="49" xfId="0" applyAlignment="1" applyBorder="1" applyFont="1" applyNumberFormat="1">
      <alignment readingOrder="0"/>
    </xf>
    <xf borderId="1" fillId="0" fontId="1" numFmtId="0" xfId="0" applyBorder="1" applyFont="1"/>
    <xf borderId="0" fillId="0" fontId="1" numFmtId="164" xfId="0" applyFont="1" applyNumberFormat="1"/>
    <xf borderId="1" fillId="0" fontId="1" numFmtId="1" xfId="0" applyAlignment="1" applyBorder="1" applyFont="1" applyNumberFormat="1">
      <alignment horizontal="center"/>
    </xf>
    <xf borderId="0" fillId="0" fontId="1" numFmtId="10" xfId="0" applyFont="1" applyNumberFormat="1"/>
    <xf borderId="2" fillId="2" fontId="3" numFmtId="0" xfId="0" applyAlignment="1" applyBorder="1" applyFill="1" applyFont="1">
      <alignment horizontal="center" readingOrder="0" shrinkToFit="0" vertical="center" wrapText="1"/>
    </xf>
    <xf borderId="2" fillId="2" fontId="3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1" numFmtId="21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0" fillId="0" fontId="4" numFmtId="0" xfId="0" applyFont="1"/>
    <xf borderId="3" fillId="2" fontId="2" numFmtId="0" xfId="0" applyAlignment="1" applyBorder="1" applyFont="1">
      <alignment horizontal="left" shrinkToFit="0" vertical="center" wrapText="1"/>
    </xf>
    <xf borderId="4" fillId="0" fontId="5" numFmtId="0" xfId="0" applyBorder="1" applyFont="1"/>
    <xf borderId="5" fillId="0" fontId="5" numFmtId="0" xfId="0" applyBorder="1" applyFont="1"/>
    <xf borderId="1" fillId="2" fontId="1" numFmtId="0" xfId="0" applyAlignment="1" applyBorder="1" applyFont="1">
      <alignment horizontal="center" shrinkToFit="0" vertical="center" wrapText="1"/>
    </xf>
    <xf borderId="1" fillId="2" fontId="1" numFmtId="21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horizontal="center" vertical="center"/>
    </xf>
    <xf borderId="0" fillId="0" fontId="1" numFmtId="165" xfId="0" applyAlignment="1" applyFont="1" applyNumberFormat="1">
      <alignment horizontal="left"/>
    </xf>
    <xf borderId="1" fillId="0" fontId="1" numFmtId="166" xfId="0" applyAlignment="1" applyBorder="1" applyFont="1" applyNumberFormat="1">
      <alignment horizontal="center" vertical="center"/>
    </xf>
    <xf borderId="1" fillId="0" fontId="3" numFmtId="9" xfId="0" applyAlignment="1" applyBorder="1" applyFont="1" applyNumberFormat="1">
      <alignment horizontal="center"/>
    </xf>
    <xf borderId="1" fillId="0" fontId="1" numFmtId="49" xfId="0" applyAlignment="1" applyBorder="1" applyFont="1" applyNumberFormat="1">
      <alignment horizontal="left"/>
    </xf>
    <xf borderId="1" fillId="0" fontId="1" numFmtId="9" xfId="0" applyAlignment="1" applyBorder="1" applyFont="1" applyNumberFormat="1">
      <alignment horizontal="center"/>
    </xf>
    <xf borderId="1" fillId="0" fontId="1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1" fillId="0" fontId="1" numFmtId="0" xfId="0" applyAlignment="1" applyBorder="1" applyFont="1">
      <alignment horizontal="center" readingOrder="0"/>
    </xf>
    <xf borderId="0" fillId="0" fontId="1" numFmtId="9" xfId="0" applyAlignment="1" applyFont="1" applyNumberFormat="1">
      <alignment horizontal="center"/>
    </xf>
    <xf borderId="0" fillId="0" fontId="1" numFmtId="0" xfId="0" applyAlignment="1" applyFont="1">
      <alignment readingOrder="0"/>
    </xf>
    <xf borderId="0" fillId="0" fontId="7" numFmtId="0" xfId="0" applyFont="1"/>
    <xf borderId="2" fillId="2" fontId="7" numFmtId="0" xfId="0" applyBorder="1" applyFont="1"/>
    <xf borderId="0" fillId="0" fontId="3" numFmtId="0" xfId="0" applyFont="1"/>
    <xf borderId="1" fillId="0" fontId="1" numFmtId="10" xfId="0" applyBorder="1" applyFont="1" applyNumberFormat="1"/>
    <xf borderId="6" fillId="3" fontId="1" numFmtId="0" xfId="0" applyAlignment="1" applyBorder="1" applyFill="1" applyFont="1">
      <alignment horizontal="center"/>
    </xf>
    <xf borderId="7" fillId="4" fontId="3" numFmtId="167" xfId="0" applyAlignment="1" applyBorder="1" applyFill="1" applyFont="1" applyNumberFormat="1">
      <alignment horizontal="center"/>
    </xf>
    <xf borderId="8" fillId="0" fontId="1" numFmtId="0" xfId="0" applyAlignment="1" applyBorder="1" applyFont="1">
      <alignment horizontal="center"/>
    </xf>
    <xf borderId="1" fillId="0" fontId="1" numFmtId="9" xfId="0" applyBorder="1" applyFont="1" applyNumberFormat="1"/>
    <xf borderId="0" fillId="0" fontId="1" numFmtId="0" xfId="0" applyAlignment="1" applyFont="1">
      <alignment horizontal="center"/>
    </xf>
    <xf borderId="1" fillId="5" fontId="1" numFmtId="0" xfId="0" applyAlignment="1" applyBorder="1" applyFill="1" applyFont="1">
      <alignment horizontal="center"/>
    </xf>
    <xf borderId="1" fillId="2" fontId="1" numFmtId="168" xfId="0" applyAlignment="1" applyBorder="1" applyFont="1" applyNumberFormat="1">
      <alignment horizontal="center"/>
    </xf>
    <xf borderId="0" fillId="6" fontId="1" numFmtId="0" xfId="0" applyFill="1" applyFont="1"/>
    <xf borderId="1" fillId="0" fontId="1" numFmtId="46" xfId="0" applyAlignment="1" applyBorder="1" applyFont="1" applyNumberFormat="1">
      <alignment horizontal="center"/>
    </xf>
    <xf borderId="0" fillId="0" fontId="8" numFmtId="10" xfId="0" applyAlignment="1" applyFont="1" applyNumberFormat="1">
      <alignment horizontal="center"/>
    </xf>
    <xf borderId="0" fillId="0" fontId="9" numFmtId="0" xfId="0" applyFont="1"/>
    <xf borderId="1" fillId="7" fontId="10" numFmtId="0" xfId="0" applyAlignment="1" applyBorder="1" applyFill="1" applyFont="1">
      <alignment horizontal="center" vertical="center"/>
    </xf>
    <xf borderId="1" fillId="7" fontId="10" numFmtId="49" xfId="0" applyAlignment="1" applyBorder="1" applyFont="1" applyNumberFormat="1">
      <alignment horizontal="center" vertical="center"/>
    </xf>
    <xf borderId="1" fillId="7" fontId="11" numFmtId="0" xfId="0" applyAlignment="1" applyBorder="1" applyFont="1">
      <alignment horizontal="center" vertical="center"/>
    </xf>
    <xf borderId="1" fillId="7" fontId="10" numFmtId="46" xfId="0" applyAlignment="1" applyBorder="1" applyFont="1" applyNumberFormat="1">
      <alignment horizontal="center" vertical="center"/>
    </xf>
    <xf borderId="1" fillId="7" fontId="10" numFmtId="9" xfId="0" applyAlignment="1" applyBorder="1" applyFont="1" applyNumberFormat="1">
      <alignment horizontal="center" vertical="center"/>
    </xf>
    <xf borderId="1" fillId="7" fontId="10" numFmtId="1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left" vertical="center"/>
    </xf>
    <xf borderId="1" fillId="0" fontId="8" numFmtId="49" xfId="0" applyAlignment="1" applyBorder="1" applyFont="1" applyNumberFormat="1">
      <alignment horizontal="center"/>
    </xf>
    <xf borderId="1" fillId="0" fontId="8" numFmtId="0" xfId="0" applyAlignment="1" applyBorder="1" applyFont="1">
      <alignment horizontal="center" vertical="center"/>
    </xf>
    <xf borderId="1" fillId="0" fontId="8" numFmtId="165" xfId="0" applyAlignment="1" applyBorder="1" applyFont="1" applyNumberFormat="1">
      <alignment horizontal="center" vertical="center"/>
    </xf>
    <xf borderId="1" fillId="0" fontId="12" numFmtId="21" xfId="0" applyAlignment="1" applyBorder="1" applyFont="1" applyNumberFormat="1">
      <alignment horizontal="center" vertical="center"/>
    </xf>
    <xf borderId="1" fillId="0" fontId="8" numFmtId="46" xfId="0" applyAlignment="1" applyBorder="1" applyFont="1" applyNumberFormat="1">
      <alignment horizontal="center" vertical="center"/>
    </xf>
    <xf borderId="1" fillId="0" fontId="8" numFmtId="9" xfId="0" applyAlignment="1" applyBorder="1" applyFont="1" applyNumberFormat="1">
      <alignment horizontal="center" vertical="center"/>
    </xf>
    <xf borderId="1" fillId="0" fontId="8" numFmtId="9" xfId="0" applyAlignment="1" applyBorder="1" applyFont="1" applyNumberFormat="1">
      <alignment horizontal="center"/>
    </xf>
    <xf borderId="0" fillId="0" fontId="13" numFmtId="0" xfId="0" applyFont="1"/>
    <xf borderId="1" fillId="0" fontId="8" numFmtId="0" xfId="0" applyAlignment="1" applyBorder="1" applyFont="1">
      <alignment horizontal="center" readingOrder="0" vertical="center"/>
    </xf>
    <xf borderId="0" fillId="0" fontId="8" numFmtId="0" xfId="0" applyAlignment="1" applyFont="1">
      <alignment horizontal="left"/>
    </xf>
    <xf borderId="0" fillId="0" fontId="12" numFmtId="0" xfId="0" applyFont="1"/>
    <xf borderId="0" fillId="0" fontId="13" numFmtId="49" xfId="0" applyFont="1" applyNumberFormat="1"/>
    <xf borderId="9" fillId="0" fontId="14" numFmtId="0" xfId="0" applyAlignment="1" applyBorder="1" applyFont="1">
      <alignment horizontal="center" readingOrder="0"/>
    </xf>
    <xf borderId="10" fillId="0" fontId="14" numFmtId="0" xfId="0" applyAlignment="1" applyBorder="1" applyFont="1">
      <alignment horizontal="center" readingOrder="0"/>
    </xf>
    <xf borderId="10" fillId="0" fontId="14" numFmtId="49" xfId="0" applyAlignment="1" applyBorder="1" applyFont="1" applyNumberFormat="1">
      <alignment horizontal="center" readingOrder="0"/>
    </xf>
    <xf borderId="10" fillId="0" fontId="14" numFmtId="46" xfId="0" applyAlignment="1" applyBorder="1" applyFont="1" applyNumberFormat="1">
      <alignment horizontal="center" readingOrder="0"/>
    </xf>
    <xf borderId="10" fillId="0" fontId="14" numFmtId="9" xfId="0" applyAlignment="1" applyBorder="1" applyFont="1" applyNumberFormat="1">
      <alignment horizontal="center" readingOrder="0"/>
    </xf>
    <xf borderId="10" fillId="0" fontId="14" numFmtId="1" xfId="0" applyAlignment="1" applyBorder="1" applyFont="1" applyNumberFormat="1">
      <alignment horizontal="center" readingOrder="0"/>
    </xf>
    <xf borderId="11" fillId="0" fontId="14" numFmtId="9" xfId="0" applyAlignment="1" applyBorder="1" applyFont="1" applyNumberFormat="1">
      <alignment horizontal="center" readingOrder="0"/>
    </xf>
    <xf borderId="12" fillId="0" fontId="13" numFmtId="0" xfId="0" applyAlignment="1" applyBorder="1" applyFont="1">
      <alignment readingOrder="0"/>
    </xf>
    <xf borderId="13" fillId="0" fontId="13" numFmtId="0" xfId="0" applyAlignment="1" applyBorder="1" applyFont="1">
      <alignment readingOrder="0"/>
    </xf>
    <xf borderId="13" fillId="0" fontId="13" numFmtId="49" xfId="0" applyAlignment="1" applyBorder="1" applyFont="1" applyNumberFormat="1">
      <alignment readingOrder="0"/>
    </xf>
    <xf borderId="13" fillId="0" fontId="13" numFmtId="165" xfId="0" applyAlignment="1" applyBorder="1" applyFont="1" applyNumberFormat="1">
      <alignment readingOrder="0"/>
    </xf>
    <xf borderId="13" fillId="0" fontId="13" numFmtId="21" xfId="0" applyAlignment="1" applyBorder="1" applyFont="1" applyNumberFormat="1">
      <alignment readingOrder="0"/>
    </xf>
    <xf borderId="13" fillId="0" fontId="13" numFmtId="46" xfId="0" applyAlignment="1" applyBorder="1" applyFont="1" applyNumberFormat="1">
      <alignment readingOrder="0"/>
    </xf>
    <xf borderId="13" fillId="0" fontId="13" numFmtId="9" xfId="0" applyAlignment="1" applyBorder="1" applyFont="1" applyNumberFormat="1">
      <alignment readingOrder="0"/>
    </xf>
    <xf borderId="14" fillId="0" fontId="13" numFmtId="9" xfId="0" applyAlignment="1" applyBorder="1" applyFont="1" applyNumberFormat="1">
      <alignment readingOrder="0"/>
    </xf>
    <xf borderId="13" fillId="0" fontId="13" numFmtId="0" xfId="0" applyBorder="1" applyFont="1"/>
    <xf borderId="0" fillId="0" fontId="13" numFmtId="0" xfId="0" applyAlignment="1" applyFont="1">
      <alignment readingOrder="0"/>
    </xf>
    <xf borderId="15" fillId="8" fontId="15" numFmtId="0" xfId="0" applyAlignment="1" applyBorder="1" applyFill="1" applyFont="1">
      <alignment horizontal="center" shrinkToFit="0" vertical="center" wrapText="1"/>
    </xf>
    <xf borderId="16" fillId="8" fontId="15" numFmtId="0" xfId="0" applyAlignment="1" applyBorder="1" applyFont="1">
      <alignment horizontal="center" shrinkToFit="0" vertical="center" wrapText="1"/>
    </xf>
    <xf borderId="16" fillId="8" fontId="15" numFmtId="0" xfId="0" applyAlignment="1" applyBorder="1" applyFont="1">
      <alignment horizontal="center" vertical="center"/>
    </xf>
    <xf borderId="0" fillId="0" fontId="16" numFmtId="0" xfId="0" applyFont="1"/>
    <xf borderId="17" fillId="0" fontId="5" numFmtId="0" xfId="0" applyBorder="1" applyFont="1"/>
    <xf borderId="18" fillId="8" fontId="15" numFmtId="0" xfId="0" applyAlignment="1" applyBorder="1" applyFont="1">
      <alignment horizontal="center" shrinkToFit="0" vertical="center" wrapText="1"/>
    </xf>
    <xf borderId="18" fillId="8" fontId="15" numFmtId="0" xfId="0" applyAlignment="1" applyBorder="1" applyFont="1">
      <alignment horizontal="center" vertical="center"/>
    </xf>
    <xf borderId="1" fillId="0" fontId="16" numFmtId="0" xfId="0" applyAlignment="1" applyBorder="1" applyFont="1">
      <alignment horizontal="center"/>
    </xf>
    <xf borderId="1" fillId="0" fontId="15" numFmtId="0" xfId="0" applyAlignment="1" applyBorder="1" applyFont="1">
      <alignment horizontal="left"/>
    </xf>
    <xf borderId="19" fillId="0" fontId="16" numFmtId="0" xfId="0" applyAlignment="1" applyBorder="1" applyFont="1">
      <alignment horizontal="center"/>
    </xf>
    <xf borderId="20" fillId="0" fontId="16" numFmtId="0" xfId="0" applyAlignment="1" applyBorder="1" applyFont="1">
      <alignment horizontal="center"/>
    </xf>
    <xf borderId="21" fillId="0" fontId="16" numFmtId="0" xfId="0" applyAlignment="1" applyBorder="1" applyFont="1">
      <alignment horizontal="center"/>
    </xf>
    <xf borderId="22" fillId="0" fontId="16" numFmtId="0" xfId="0" applyAlignment="1" applyBorder="1" applyFont="1">
      <alignment horizontal="center"/>
    </xf>
    <xf borderId="0" fillId="0" fontId="16" numFmtId="0" xfId="0" applyAlignment="1" applyFont="1">
      <alignment horizontal="center"/>
    </xf>
    <xf borderId="1" fillId="0" fontId="15" numFmtId="0" xfId="0" applyBorder="1" applyFont="1"/>
    <xf borderId="1" fillId="9" fontId="13" numFmtId="0" xfId="0" applyAlignment="1" applyBorder="1" applyFill="1" applyFont="1">
      <alignment readingOrder="0"/>
    </xf>
    <xf borderId="1" fillId="9" fontId="13" numFmtId="0" xfId="0" applyBorder="1" applyFont="1"/>
    <xf borderId="23" fillId="0" fontId="16" numFmtId="0" xfId="0" applyAlignment="1" applyBorder="1" applyFont="1">
      <alignment horizontal="center"/>
    </xf>
    <xf borderId="0" fillId="0" fontId="8" numFmtId="49" xfId="0" applyFont="1" applyNumberFormat="1"/>
  </cellXfs>
  <cellStyles count="1">
    <cellStyle xfId="0" name="Normal" builtinId="0"/>
  </cellStyles>
  <dxfs count="16">
    <dxf>
      <font>
        <color rgb="FFFF0000"/>
      </font>
      <fill>
        <patternFill patternType="none"/>
      </fill>
      <border/>
    </dxf>
    <dxf>
      <font>
        <color rgb="FF00B05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  <dxf>
      <font>
        <b/>
        <color rgb="FF008000"/>
      </font>
      <fill>
        <patternFill patternType="none"/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969696"/>
          <bgColor rgb="FF969696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FF9900"/>
          <bgColor rgb="FFFF9900"/>
        </patternFill>
      </fill>
      <border/>
    </dxf>
  </dxfs>
  <tableStyles count="1">
    <tableStyle count="3" pivot="0" name="Detail1-Amit Mayekar-style">
      <tableStyleElement dxfId="10" type="headerRow"/>
      <tableStyleElement dxfId="11" type="firstRowStripe"/>
      <tableStyleElement dxfId="1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3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Tagging % and FLC %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Question!$C$78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Question!$B$79:$B$88</c:f>
            </c:strRef>
          </c:cat>
          <c:val>
            <c:numRef>
              <c:f>Question!$C$79:$C$88</c:f>
              <c:numCache/>
            </c:numRef>
          </c:val>
          <c:smooth val="0"/>
        </c:ser>
        <c:ser>
          <c:idx val="1"/>
          <c:order val="1"/>
          <c:tx>
            <c:strRef>
              <c:f>Question!$D$78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Question!$B$79:$B$88</c:f>
            </c:strRef>
          </c:cat>
          <c:val>
            <c:numRef>
              <c:f>Question!$D$79:$D$88</c:f>
              <c:numCache/>
            </c:numRef>
          </c:val>
          <c:smooth val="0"/>
        </c:ser>
        <c:axId val="846380564"/>
        <c:axId val="1289364800"/>
      </c:lineChart>
      <c:catAx>
        <c:axId val="8463805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CSR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9364800"/>
      </c:catAx>
      <c:valAx>
        <c:axId val="1289364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63805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Tagging % and FLC %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Question!$C$78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Question!$B$79:$B$88</c:f>
            </c:strRef>
          </c:cat>
          <c:val>
            <c:numRef>
              <c:f>Question!$C$79:$C$88</c:f>
              <c:numCache/>
            </c:numRef>
          </c:val>
          <c:smooth val="0"/>
        </c:ser>
        <c:ser>
          <c:idx val="1"/>
          <c:order val="1"/>
          <c:tx>
            <c:strRef>
              <c:f>Question!$D$78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Question!$B$79:$B$88</c:f>
            </c:strRef>
          </c:cat>
          <c:val>
            <c:numRef>
              <c:f>Question!$D$79:$D$88</c:f>
              <c:numCache/>
            </c:numRef>
          </c:val>
          <c:smooth val="0"/>
        </c:ser>
        <c:axId val="2133632563"/>
        <c:axId val="239277727"/>
      </c:lineChart>
      <c:catAx>
        <c:axId val="21336325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CSR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9277727"/>
      </c:catAx>
      <c:valAx>
        <c:axId val="2392777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36325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400050</xdr:colOff>
      <xdr:row>73</xdr:row>
      <xdr:rowOff>85725</xdr:rowOff>
    </xdr:from>
    <xdr:ext cx="5067300" cy="2562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400050</xdr:colOff>
      <xdr:row>72</xdr:row>
      <xdr:rowOff>38100</xdr:rowOff>
    </xdr:from>
    <xdr:ext cx="5715000" cy="30861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P132" sheet="Main"/>
  </cacheSource>
  <cacheFields>
    <cacheField name="Agent Name" numFmtId="0">
      <sharedItems>
        <s v="Abhijeet Joshi"/>
        <s v="Abhinay Dhotre"/>
        <s v="Ajay Gyanchandani"/>
        <s v="Ajay Paramshali"/>
        <s v="Ajit Singh"/>
        <s v="Alka Achat"/>
        <s v="Amip Naik"/>
        <s v="Amir Dalvi"/>
        <s v="Amit Baria"/>
        <s v="Amit Ghume"/>
        <s v="Amit Mane"/>
        <s v="Amit Raut"/>
        <s v="Amol Petkar"/>
        <s v="Amol Tupe"/>
        <s v="Anand Navale"/>
        <s v="Anil Narsale"/>
        <s v="Aniruddha Kotian"/>
        <s v="Ashish Bangera"/>
        <s v="Ashish Sharma"/>
        <s v="Ashishkumar Rajani"/>
        <s v="Ashit Shinde"/>
        <s v="Ashwin Waghela"/>
        <s v="Avinash Gaikwad"/>
        <s v="Avinash Khot"/>
        <s v="Avinash Waghmare"/>
        <s v="Bhushan Gangurde"/>
        <s v="Chandan Thewar"/>
        <s v="Chandrakant Sarkale"/>
        <s v="chetan Cheulkar"/>
        <s v="Darshan Warke"/>
        <s v="Dattatraya Kumble"/>
        <s v="Deepak Patil"/>
        <s v="Deepak Singh"/>
        <s v="Denis Dedhia"/>
        <s v="Devang Khira"/>
        <s v="Dhairyashil Rane"/>
        <s v="Dhirendra Bhujade"/>
        <s v="Dipak Mali"/>
        <s v="Firoz Khan"/>
        <s v="Ganesh Jadhav"/>
        <s v="Harsh Shukla"/>
        <s v="Hitesh Loke"/>
        <s v="Imran Shaikh"/>
        <s v="Ishika Gurav"/>
        <s v="Jacinta Baretto"/>
        <s v="Jayaa Gaur"/>
        <s v="Jayesh Bane"/>
        <s v="Jignasha Chauhan"/>
        <s v="Kalpesh Gangurde"/>
        <s v="Kanchan Gantellu"/>
        <s v="Kapil Daware"/>
        <s v="Kavita Mishra"/>
        <s v="Kishor Galipelly"/>
        <s v="Kishor Ganbas"/>
        <s v="Kumed Chirlekar"/>
        <s v="Mandar Patil"/>
        <s v="Manoj Sonicha"/>
        <s v="Mayur Hingoo"/>
        <s v="Mayur Sonawane"/>
        <s v="Meena Halemani"/>
        <s v="Milind Gawai"/>
        <s v="Miten Achrekar"/>
        <s v="Moses Clare"/>
        <s v="Muthuvel Nadar"/>
        <s v="Nainesh Saidane"/>
        <s v="Omkar Mulekar"/>
        <s v="Paren Shah"/>
        <s v="Prakash Parmar"/>
        <s v="Praneet Rasaikar"/>
        <s v="Prashant Kadam"/>
        <s v="Prateek Joshi"/>
        <s v="Prathamesh Champaner"/>
        <s v="Pratik Joshi"/>
        <s v="Pritesh Jain"/>
        <s v="Priyanka Kadam"/>
        <s v="Radhika Chemburkar"/>
        <s v="Rafique Shaikh"/>
        <s v="Ragupathy S"/>
        <s v="Rahul Chavan"/>
        <s v="Rahul More"/>
        <s v="Rajesh Alhat"/>
        <s v="Rajnish Barnwal"/>
        <s v="Ramesh Nikam"/>
        <s v="Ravikant Sharma"/>
        <s v="Ravindra Kharwate"/>
        <s v="Rhushikesh Toraskar"/>
        <s v="Ritesh Churi"/>
        <s v="Ritesh Karshikar"/>
        <s v="Robin Gahukamble"/>
        <s v="Rohit Dalvi"/>
        <s v="Romil Modi"/>
        <s v="Sagar Walunj"/>
        <s v="Sandesh Shetty"/>
        <s v="Sangeeta Dsouza"/>
        <s v="Santosh Oghale"/>
        <s v="Savan Patil"/>
        <s v="Seema Khutade"/>
        <s v="Shaffi Kulkarni"/>
        <s v="Shahanawaz Shaikh"/>
        <s v="Shaikh Ali"/>
        <s v="Shashikant Chandanshive"/>
        <s v="Shekhar Ghodeswar"/>
        <s v="Shekhar Ramanna"/>
        <s v="Shilpa Sonawane"/>
        <s v="Shimol Kapashi"/>
        <s v="Shruti Vichare"/>
        <s v="Sonali Vaidya"/>
        <s v="Spruha Ramteke"/>
        <s v="Suhas Lad"/>
        <s v="Sunil Fulkar"/>
        <s v="Sunil Pawar"/>
        <s v="Sunil Pillai"/>
        <s v="Sushil Pawar"/>
        <s v="Sushma Gaikwad"/>
        <s v="Swapnali Sawant"/>
        <s v="Tamanna Monga"/>
        <s v="Tejas Mulekar"/>
        <s v="Trupti Salvi"/>
        <s v="Vaibhav Salvi"/>
        <s v="Venkatesh Kadam"/>
        <s v="Vijay Tawale"/>
        <s v="Vijeta Adesera"/>
        <s v="Vishal Murthy"/>
        <s v="Vishal Narkhede"/>
        <s v="Vishal Salvi"/>
        <s v="Yogesh Bhalerao"/>
        <s v="Yogesh Shinde"/>
      </sharedItems>
    </cacheField>
    <cacheField name="Process" numFmtId="0">
      <sharedItems>
        <s v="Inbound"/>
        <s v="Outbound"/>
      </sharedItems>
    </cacheField>
    <cacheField name="Avaya ID" numFmtId="49">
      <sharedItems containsSemiMixedTypes="0" containsString="0" containsNumber="1" containsInteger="1">
        <n v="876388.0"/>
        <n v="873019.0"/>
        <n v="876359.0"/>
        <n v="873071.0"/>
        <n v="873301.0"/>
        <n v="873072.0"/>
        <n v="876366.0"/>
        <n v="873096.0"/>
        <n v="876377.0"/>
        <n v="876337.0"/>
        <n v="873041.0"/>
        <n v="876350.0"/>
        <n v="876385.0"/>
        <n v="873104.0"/>
        <n v="876277.0"/>
        <n v="876327.0"/>
        <n v="873235.0"/>
        <n v="873119.0"/>
        <n v="873080.0"/>
        <n v="876396.0"/>
        <n v="876335.0"/>
        <n v="873222.0"/>
        <n v="873095.0"/>
        <n v="873100.0"/>
        <n v="873292.0"/>
        <n v="873058.0"/>
        <n v="873240.0"/>
        <n v="873239.0"/>
        <n v="876090.0"/>
        <n v="876339.0"/>
        <n v="873218.0"/>
        <n v="873112.0"/>
        <n v="876430.0"/>
        <n v="876324.0"/>
        <n v="873045.0"/>
        <n v="876477.0"/>
        <n v="876387.0"/>
        <n v="873035.0"/>
        <n v="876367.0"/>
        <n v="876325.0"/>
        <n v="876011.0"/>
        <n v="873002.0"/>
        <n v="873011.0"/>
        <n v="873098.0"/>
        <n v="873070.0"/>
        <n v="876351.0"/>
        <n v="876406.0"/>
        <n v="873293.0"/>
        <n v="876381.0"/>
        <n v="873087.0"/>
        <n v="873021.0"/>
        <n v="873036.0"/>
        <n v="873114.0"/>
        <n v="876476.0"/>
        <n v="873213.0"/>
        <n v="873303.0"/>
        <n v="876420.0"/>
        <n v="873110.0"/>
        <n v="873111.0"/>
        <n v="873048.0"/>
        <n v="876398.0"/>
        <n v="876391.0"/>
        <n v="873043.0"/>
        <n v="876376.0"/>
        <n v="876363.0"/>
        <n v="873205.0"/>
        <n v="876423.0"/>
        <n v="873287.0"/>
        <n v="876233.0"/>
        <n v="876328.0"/>
        <n v="873237.0"/>
        <n v="873083.0"/>
        <n v="873232.0"/>
        <n v="873288.0"/>
        <n v="873294.0"/>
        <n v="876352.0"/>
        <n v="873208.0"/>
        <n v="876382.0"/>
        <n v="876471.0"/>
        <n v="873101.0"/>
        <n v="873226.0"/>
        <n v="873296.0"/>
        <n v="876434.0"/>
        <n v="873103.0"/>
        <n v="876349.0"/>
        <n v="876478.0"/>
        <n v="876268.0"/>
        <n v="876329.0"/>
        <n v="876370.0"/>
        <n v="873216.0"/>
        <n v="873214.0"/>
        <n v="873304.0"/>
        <n v="873068.0"/>
        <n v="873297.0"/>
        <n v="873018.0"/>
        <n v="873306.0"/>
        <n v="876358.0"/>
        <n v="876365.0"/>
        <n v="873060.0"/>
        <n v="876356.0"/>
        <n v="876234.0"/>
        <n v="876479.0"/>
        <n v="872694.0"/>
        <n v="873061.0"/>
        <n v="873008.0"/>
        <n v="873062.0"/>
        <n v="876404.0"/>
        <n v="879911.0"/>
        <n v="873300.0"/>
        <n v="873038.0"/>
        <n v="873230.0"/>
        <n v="873014.0"/>
        <n v="876417.0"/>
        <n v="876253.0"/>
        <n v="873039.0"/>
        <n v="873210.0"/>
        <n v="873299.0"/>
        <n v="873307.0"/>
        <n v="876401.0"/>
        <n v="873001.0"/>
        <n v="876355.0"/>
        <n v="876346.0"/>
        <n v="876482.0"/>
        <n v="876436.0"/>
        <n v="876333.0"/>
        <n v="873212.0"/>
      </sharedItems>
    </cacheField>
    <cacheField name="TL Name" numFmtId="49">
      <sharedItems>
        <s v="Sachin G"/>
        <s v="Dinesh"/>
        <s v="Amit Mayekar"/>
        <s v="Sachin K"/>
        <s v="Swapna Dalvi"/>
        <s v="Nishi"/>
        <s v="Shraddha"/>
        <s v="Karthik Iyer"/>
        <s v="Ranjeeta"/>
        <s v="Harshad"/>
        <s v="Arshi"/>
        <s v="Sachin Hundare"/>
        <s v="Kim"/>
        <s v="Neha"/>
      </sharedItems>
    </cacheField>
    <cacheField name="Wave" numFmtId="0">
      <sharedItems>
        <s v="Wave 3"/>
        <s v="Wave 2"/>
        <s v="Wave 1"/>
        <s v="Wave 4"/>
        <s v="Wave 5"/>
        <e v="#N/A"/>
        <s v="Fsa"/>
      </sharedItems>
    </cacheField>
    <cacheField name="Date" numFmtId="165">
      <sharedItems containsSemiMixedTypes="0" containsDate="1" containsString="0">
        <d v="2010-04-12T00:00:00Z"/>
        <d v="2010-04-13T00:00:00Z"/>
      </sharedItems>
    </cacheField>
    <cacheField name="Call Ans" numFmtId="0">
      <sharedItems containsSemiMixedTypes="0" containsString="0" containsNumber="1" containsInteger="1">
        <n v="101.0"/>
        <n v="180.0"/>
        <n v="318.0"/>
        <n v="164.0"/>
        <n v="171.0"/>
        <n v="249.0"/>
        <n v="169.0"/>
        <n v="314.0"/>
        <n v="141.0"/>
        <n v="190.0"/>
        <n v="165.0"/>
        <n v="80.0"/>
        <n v="198.0"/>
        <n v="126.0"/>
        <n v="193.0"/>
        <n v="11.0"/>
        <n v="77.0"/>
        <n v="184.0"/>
        <n v="54.0"/>
        <n v="201.0"/>
        <n v="145.0"/>
        <n v="219.0"/>
        <n v="214.0"/>
        <n v="179.0"/>
        <n v="255.0"/>
        <n v="120.0"/>
        <n v="200.0"/>
        <n v="28.0"/>
        <n v="70.0"/>
        <n v="223.0"/>
        <n v="151.0"/>
        <n v="29.0"/>
        <n v="185.0"/>
        <n v="155.0"/>
        <n v="162.0"/>
        <n v="49.0"/>
        <n v="143.0"/>
        <n v="150.0"/>
        <n v="102.0"/>
        <n v="188.0"/>
        <n v="206.0"/>
        <n v="202.0"/>
        <n v="66.0"/>
        <n v="100.0"/>
        <n v="146.0"/>
        <n v="139.0"/>
        <n v="86.0"/>
        <n v="153.0"/>
        <n v="177.0"/>
        <n v="125.0"/>
        <n v="138.0"/>
        <n v="182.0"/>
        <n v="55.0"/>
        <n v="183.0"/>
        <n v="170.0"/>
        <n v="187.0"/>
        <n v="181.0"/>
        <n v="230.0"/>
        <n v="216.0"/>
        <n v="40.0"/>
        <n v="227.0"/>
        <n v="121.0"/>
        <n v="111.0"/>
        <n v="107.0"/>
        <n v="69.0"/>
        <n v="189.0"/>
        <n v="52.0"/>
        <n v="271.0"/>
        <n v="105.0"/>
        <n v="76.0"/>
        <n v="31.0"/>
        <n v="37.0"/>
        <n v="142.0"/>
        <n v="119.0"/>
        <n v="94.0"/>
        <n v="63.0"/>
        <n v="91.0"/>
        <n v="234.0"/>
        <n v="157.0"/>
        <n v="175.0"/>
        <n v="207.0"/>
        <n v="48.0"/>
        <n v="209.0"/>
        <n v="160.0"/>
        <n v="124.0"/>
        <n v="122.0"/>
        <n v="195.0"/>
        <n v="53.0"/>
        <n v="260.0"/>
        <n v="152.0"/>
        <n v="59.0"/>
        <n v="116.0"/>
        <n v="74.0"/>
        <n v="128.0"/>
        <n v="158.0"/>
        <n v="287.0"/>
        <n v="229.0"/>
        <n v="113.0"/>
        <n v="25.0"/>
        <n v="117.0"/>
      </sharedItems>
    </cacheField>
    <cacheField name="AHT" numFmtId="21">
      <sharedItems containsSemiMixedTypes="0" containsDate="1" containsString="0">
        <d v="1899-12-30T00:04:53Z"/>
        <d v="1899-12-30T00:02:44Z"/>
        <d v="1899-12-30T00:01:30Z"/>
        <d v="1899-12-30T00:03:20Z"/>
        <d v="1899-12-30T00:02:56Z"/>
        <d v="1899-12-30T00:02:00Z"/>
        <d v="1899-12-30T00:03:04Z"/>
        <d v="1899-12-30T00:01:07Z"/>
        <d v="1899-12-30T00:02:36Z"/>
        <d v="1899-12-30T00:02:31Z"/>
        <d v="1899-12-30T00:02:22Z"/>
        <d v="1899-12-30T00:01:54Z"/>
        <d v="1899-12-30T00:03:11Z"/>
        <d v="1899-12-30T00:04:19Z"/>
        <d v="1899-12-30T00:02:59Z"/>
        <d v="1899-12-30T00:03:01Z"/>
        <d v="1899-12-30T00:02:06Z"/>
        <d v="1899-12-30T00:02:45Z"/>
        <d v="1899-12-30T00:03:57Z"/>
        <d v="1899-12-30T00:03:01Z"/>
        <d v="1899-12-30T00:03:02Z"/>
        <d v="1899-12-30T00:01:39Z"/>
        <d v="1899-12-30T00:02:16Z"/>
        <d v="1899-12-30T00:02:44Z"/>
        <d v="1899-12-30T00:01:57Z"/>
        <d v="1899-12-30T00:04:48Z"/>
        <d v="1899-12-30T00:02:26Z"/>
        <d v="1899-12-30T00:04:33Z"/>
        <d v="1899-12-30T00:03:47Z"/>
        <d v="1899-12-30T00:03:02Z"/>
        <d v="1899-12-30T00:02:21Z"/>
        <d v="1899-12-30T00:03:19Z"/>
        <d v="1899-12-30T00:02:18Z"/>
        <d v="1899-12-30T00:06:08Z"/>
        <d v="1899-12-30T00:02:25Z"/>
        <d v="1899-12-30T00:05:16Z"/>
        <d v="1899-12-30T00:03:25Z"/>
        <d v="1899-12-30T00:02:46Z"/>
        <d v="1899-12-30T00:02:43Z"/>
        <d v="1899-12-30T00:03:32Z"/>
        <d v="1899-12-30T00:02:31Z"/>
        <d v="1899-12-30T00:02:43Z"/>
        <d v="1899-12-30T00:02:38Z"/>
        <d v="1899-12-30T00:02:12Z"/>
        <d v="1899-12-30T00:01:57Z"/>
        <d v="1899-12-30T00:03:03Z"/>
        <d v="1899-12-30T00:02:42Z"/>
        <d v="1899-12-30T00:05:50Z"/>
        <d v="1899-12-30T00:03:45Z"/>
        <d v="1899-12-30T00:03:51Z"/>
        <d v="1899-12-30T00:03:23Z"/>
        <d v="1899-12-30T00:03:43Z"/>
        <d v="1899-12-30T00:02:28Z"/>
        <d v="1899-12-30T00:03:00Z"/>
        <d v="1899-12-30T00:05:28Z"/>
        <d v="1899-12-30T00:04:21Z"/>
        <d v="1899-12-30T00:03:03Z"/>
        <d v="1899-12-30T00:03:28Z"/>
        <d v="1899-12-30T00:01:48Z"/>
        <d v="1899-12-30T00:02:24Z"/>
        <d v="1899-12-30T00:02:49Z"/>
        <d v="1899-12-30T00:03:09Z"/>
        <d v="1899-12-30T00:02:19Z"/>
        <d v="1899-12-30T00:02:07Z"/>
        <d v="1899-12-30T00:02:19Z"/>
        <d v="1899-12-30T00:03:19Z"/>
        <d v="1899-12-30T00:01:36Z"/>
        <d v="1899-12-30T00:05:12Z"/>
        <d v="1899-12-30T00:04:40Z"/>
        <d v="1899-12-30T00:05:39Z"/>
        <d v="1899-12-30T00:03:39Z"/>
        <d v="1899-12-30T00:02:56Z"/>
        <d v="1899-12-30T00:05:06Z"/>
        <d v="1899-12-30T00:03:04Z"/>
        <d v="1899-12-30T00:01:13Z"/>
        <d v="1899-12-30T00:02:30Z"/>
        <d v="1899-12-30T00:03:50Z"/>
        <d v="1899-12-30T00:02:26Z"/>
        <d v="1899-12-30T00:01:55Z"/>
        <d v="1899-12-30T00:02:27Z"/>
        <d v="1899-12-30T00:01:23Z"/>
        <d v="1899-12-30T00:05:37Z"/>
        <d v="1899-12-30T00:02:17Z"/>
        <d v="1899-12-30T00:02:47Z"/>
        <d v="1899-12-30T00:03:36Z"/>
        <d v="1899-12-30T00:06:36Z"/>
        <d v="1899-12-30T00:02:17Z"/>
        <d v="1899-12-30T00:04:16Z"/>
        <d v="1899-12-30T00:03:49Z"/>
        <d v="1899-12-30T00:04:44Z"/>
        <d v="1899-12-30T00:04:25Z"/>
        <d v="1899-12-30T00:03:53Z"/>
        <d v="1899-12-30T00:01:50Z"/>
        <d v="1899-12-30T00:05:24Z"/>
        <d v="1899-12-30T00:03:41Z"/>
        <d v="1899-12-30T00:01:59Z"/>
        <d v="1899-12-30T00:04:05Z"/>
        <d v="1899-12-30T00:03:05Z"/>
        <d v="1899-12-30T00:03:05Z"/>
        <d v="1899-12-30T00:02:37Z"/>
        <d v="1899-12-30T00:04:42Z"/>
        <d v="1899-12-30T00:02:06Z"/>
        <d v="1899-12-30T00:01:38Z"/>
        <d v="1899-12-30T00:02:54Z"/>
        <d v="1899-12-30T00:04:14Z"/>
        <d v="1899-12-30T00:03:04Z"/>
        <d v="1899-12-30T00:03:30Z"/>
        <d v="1899-12-30T00:02:24Z"/>
        <d v="1899-12-30T00:02:58Z"/>
        <d v="1899-12-30T00:07:58Z"/>
        <d v="1899-12-30T00:02:04Z"/>
        <d v="1899-12-30T00:03:19Z"/>
        <d v="1899-12-30T00:04:10Z"/>
        <d v="1899-12-30T00:02:53Z"/>
        <d v="1899-12-30T00:02:04Z"/>
        <d v="1899-12-30T00:02:25Z"/>
        <d v="1899-12-30T00:06:17Z"/>
        <d v="1899-12-30T00:03:43Z"/>
        <d v="1899-12-30T00:02:31Z"/>
        <d v="1899-12-30T00:01:26Z"/>
        <d v="1899-12-30T00:02:33Z"/>
        <d v="1899-12-30T00:02:11Z"/>
        <d v="1899-12-30T00:02:59Z"/>
        <d v="1899-12-30T00:02:10Z"/>
        <d v="1899-12-30T00:02:10Z"/>
        <d v="1899-12-30T00:02:13Z"/>
        <d v="1899-12-30T00:04:35Z"/>
        <d v="1899-12-30T00:08:00Z"/>
        <d v="1899-12-30T00:02:47Z"/>
        <d v="1899-12-30T00:03:46Z"/>
        <d v="1899-12-30T00:02:26Z"/>
      </sharedItems>
    </cacheField>
    <cacheField name="Other Time" numFmtId="46">
      <sharedItems containsSemiMixedTypes="0" containsDate="1" containsString="0">
        <d v="1899-12-30T00:03:59Z"/>
        <d v="1899-12-30T00:00:50Z"/>
        <d v="1899-12-30T00:00:12Z"/>
        <d v="1899-12-30T00:00:09Z"/>
        <d v="1899-12-30T00:00:19Z"/>
        <d v="1899-12-30T00:01:05Z"/>
        <d v="1899-12-30T00:00:10Z"/>
        <d v="1899-12-30T00:00:06Z"/>
        <d v="1899-12-30T00:01:08Z"/>
        <d v="1899-12-30T00:00:07Z"/>
        <d v="1899-12-30T00:00:00Z"/>
        <d v="1899-12-30T00:30:43Z"/>
        <d v="1899-12-30T00:06:53Z"/>
        <d v="1899-12-30T00:07:53Z"/>
        <d v="1899-12-30T00:00:33Z"/>
        <d v="1899-12-30T00:00:02Z"/>
        <d v="1899-12-30T00:03:21Z"/>
        <d v="1899-12-30T00:01:25Z"/>
        <d v="1899-12-30T00:01:42Z"/>
        <d v="1899-12-30T00:01:06Z"/>
        <d v="1899-12-30T00:01:15Z"/>
        <d v="1899-12-30T00:24:24Z"/>
        <d v="1899-12-30T00:00:17Z"/>
        <d v="1899-12-30T00:02:26Z"/>
        <d v="1899-12-30T00:03:31Z"/>
        <d v="1899-12-30T00:00:36Z"/>
        <d v="1899-12-30T00:06:35Z"/>
        <d v="1899-12-30T00:24:06Z"/>
        <d v="1899-12-30T00:11:17Z"/>
        <d v="1899-12-30T00:00:25Z"/>
        <d v="1899-12-30T00:00:03Z"/>
        <d v="1899-12-30T00:02:46Z"/>
        <d v="1899-12-30T00:01:11Z"/>
        <d v="1899-12-30T00:00:34Z"/>
        <d v="1899-12-30T00:00:13Z"/>
        <d v="1899-12-30T00:08:53Z"/>
        <d v="1899-12-30T00:30:23Z"/>
        <d v="1899-12-30T00:03:30Z"/>
        <d v="1899-12-30T00:02:31Z"/>
        <d v="1899-12-30T00:00:59Z"/>
        <d v="1899-12-30T00:14:02Z"/>
        <d v="1899-12-30T00:01:27Z"/>
        <d v="1899-12-30T00:07:09Z"/>
        <d v="1899-12-30T01:04:06Z"/>
        <d v="1899-12-30T00:01:50Z"/>
        <d v="1899-12-30T00:00:04Z"/>
        <d v="1899-12-30T00:09:03Z"/>
        <d v="1899-12-30T00:00:05Z"/>
        <d v="1899-12-30T00:00:22Z"/>
        <d v="1899-12-30T00:00:58Z"/>
        <d v="1899-12-30T00:00:28Z"/>
        <d v="1899-12-30T00:00:23Z"/>
        <d v="1899-12-30T00:01:59Z"/>
        <d v="1899-12-30T00:21:09Z"/>
        <d v="1899-12-30T00:01:17Z"/>
        <d v="1899-12-30T00:10:13Z"/>
        <d v="1899-12-30T00:12:48Z"/>
        <d v="1899-12-30T00:18:39Z"/>
        <d v="1899-12-30T00:01:01Z"/>
        <d v="1899-12-30T00:00:47Z"/>
        <d v="1899-12-30T00:06:42Z"/>
        <d v="1899-12-30T00:02:01Z"/>
        <d v="1899-12-30T00:00:08Z"/>
        <d v="1899-12-30T00:50:42Z"/>
        <d v="1899-12-30T00:21:17Z"/>
        <d v="1899-12-30T00:01:13Z"/>
        <d v="1899-12-30T00:04:42Z"/>
        <d v="1899-12-30T00:25:45Z"/>
        <d v="1899-12-30T00:04:01Z"/>
        <d v="1899-12-30T01:00:55Z"/>
        <d v="1899-12-30T00:00:35Z"/>
        <d v="1899-12-30T00:00:37Z"/>
        <d v="1899-12-30T00:18:21Z"/>
        <d v="1899-12-30T00:07:27Z"/>
        <d v="1899-12-30T00:03:40Z"/>
        <d v="1899-12-30T00:00:43Z"/>
        <d v="1899-12-30T00:09:44Z"/>
        <d v="1899-12-30T00:00:30Z"/>
        <d v="1899-12-30T00:05:32Z"/>
        <d v="1899-12-30T00:07:16Z"/>
        <d v="1899-12-30T00:02:44Z"/>
        <d v="1899-12-30T00:01:23Z"/>
        <d v="1899-12-30T00:15:59Z"/>
        <d v="1899-12-30T00:00:52Z"/>
        <d v="1899-12-30T00:00:39Z"/>
        <d v="1899-12-30T00:06:08Z"/>
        <d v="1899-12-30T00:57:39Z"/>
        <d v="1899-12-30T00:02:07Z"/>
        <d v="1899-12-30T00:00:29Z"/>
        <d v="1899-12-30T00:13:40Z"/>
        <d v="1899-12-30T00:05:22Z"/>
        <d v="1899-12-30T00:16:36Z"/>
        <d v="1899-12-30T00:01:09Z"/>
      </sharedItems>
    </cacheField>
    <cacheField name="AUX Time" numFmtId="46">
      <sharedItems containsSemiMixedTypes="0" containsDate="1" containsString="0">
        <d v="1899-12-30T00:45:19Z"/>
        <d v="1899-12-30T00:48:03Z"/>
        <d v="1899-12-30T01:05:50Z"/>
        <d v="1899-12-30T00:31:13Z"/>
        <d v="1899-12-30T00:44:23Z"/>
        <d v="1899-12-30T00:44:26Z"/>
        <d v="1899-12-30T00:44:21Z"/>
        <d v="1899-12-30T00:56:27Z"/>
        <d v="1899-12-30T00:33:50Z"/>
        <d v="1899-12-30T00:49:17Z"/>
        <d v="1899-12-30T00:44:34Z"/>
        <d v="1899-12-30T00:35:35Z"/>
        <d v="1899-12-30T00:43:08Z"/>
        <d v="1899-12-30T00:54:10Z"/>
        <d v="1899-12-30T00:45:07Z"/>
        <d v="1899-12-30T00:08:07Z"/>
        <d v="1899-12-30T00:43:48Z"/>
        <d v="1899-12-30T00:49:37Z"/>
        <d v="1899-12-30T00:45:11Z"/>
        <d v="1899-12-30T00:44:38Z"/>
        <d v="1899-12-30T01:34:47Z"/>
        <d v="1899-12-30T00:45:54Z"/>
        <d v="1899-12-30T00:43:18Z"/>
        <d v="1899-12-30T00:51:43Z"/>
        <d v="1899-12-30T00:41:56Z"/>
        <d v="1899-12-30T00:42:09Z"/>
        <d v="1899-12-30T00:45:22Z"/>
        <d v="1899-12-30T00:18:36Z"/>
        <d v="1899-12-30T00:49:55Z"/>
        <d v="1899-12-30T00:27:33Z"/>
        <d v="1899-12-30T00:11:35Z"/>
        <d v="1899-12-30T00:43:17Z"/>
        <d v="1899-12-30T00:39:21Z"/>
        <d v="1899-12-30T00:28:27Z"/>
        <d v="1899-12-30T00:38:05Z"/>
        <d v="1899-12-30T00:48:48Z"/>
        <d v="1899-12-30T00:45:44Z"/>
        <d v="1899-12-30T00:44:37Z"/>
        <d v="1899-12-30T00:47:45Z"/>
        <d v="1899-12-30T00:40:03Z"/>
        <d v="1899-12-30T00:50:52Z"/>
        <d v="1899-12-30T00:01:06Z"/>
        <d v="1899-12-30T00:43:28Z"/>
        <d v="1899-12-30T00:39:38Z"/>
        <d v="1899-12-30T00:48:14Z"/>
        <d v="1899-12-30T00:00:05Z"/>
        <d v="1899-12-30T00:47:43Z"/>
        <d v="1899-12-30T00:43:01Z"/>
        <d v="1899-12-30T00:50:50Z"/>
        <d v="1899-12-30T00:42:52Z"/>
        <d v="1899-12-30T00:46:01Z"/>
        <d v="1899-12-30T00:25:37Z"/>
        <d v="1899-12-30T00:45:40Z"/>
        <d v="1899-12-30T00:47:30Z"/>
        <d v="1899-12-30T00:58:30Z"/>
        <d v="1899-12-30T00:44:58Z"/>
        <d v="1899-12-30T00:50:05Z"/>
        <d v="1899-12-30T00:06:23Z"/>
        <d v="1899-12-30T00:47:05Z"/>
        <d v="1899-12-30T00:36:28Z"/>
        <d v="1899-12-30T00:43:52Z"/>
        <d v="1899-12-30T00:45:51Z"/>
        <d v="1899-12-30T00:38:07Z"/>
        <d v="1899-12-30T00:48:21Z"/>
        <d v="1899-12-30T00:23:49Z"/>
        <d v="1899-12-30T00:54:08Z"/>
        <d v="1899-12-30T00:52:40Z"/>
        <d v="1899-12-30T00:35:46Z"/>
        <d v="1899-12-30T00:44:07Z"/>
        <d v="1899-12-30T00:42:18Z"/>
        <d v="1899-12-30T00:53:58Z"/>
        <d v="1899-12-30T00:42:16Z"/>
        <d v="1899-12-30T00:26:02Z"/>
        <d v="1899-12-30T00:37:16Z"/>
        <d v="1899-12-30T00:40:59Z"/>
        <d v="1899-12-30T00:13:36Z"/>
        <d v="1899-12-30T00:28:20Z"/>
        <d v="1899-12-30T00:43:56Z"/>
        <d v="1899-12-30T00:29:33Z"/>
        <d v="1899-12-30T00:33:10Z"/>
        <d v="1899-12-30T00:44:53Z"/>
        <d v="1899-12-30T00:46:22Z"/>
        <d v="1899-12-30T00:39:44Z"/>
        <d v="1899-12-30T00:44:02Z"/>
        <d v="1899-12-30T00:26:52Z"/>
        <d v="1899-12-30T00:43:05Z"/>
        <d v="1899-12-30T00:50:12Z"/>
        <d v="1899-12-30T00:49:29Z"/>
        <d v="1899-12-30T00:41:29Z"/>
        <d v="1899-12-30T01:00:01Z"/>
        <d v="1899-12-30T00:34:59Z"/>
        <d v="1899-12-30T00:57:31Z"/>
        <d v="1899-12-30T00:43:02Z"/>
        <d v="1899-12-30T00:41:49Z"/>
        <d v="1899-12-30T00:45:26Z"/>
        <d v="1899-12-30T00:21:32Z"/>
        <d v="1899-12-30T00:40:18Z"/>
        <d v="1899-12-30T00:41:55Z"/>
        <d v="1899-12-30T00:47:21Z"/>
        <d v="1899-12-30T00:23:11Z"/>
        <d v="1899-12-30T00:46:12Z"/>
        <d v="1899-12-30T00:33:44Z"/>
        <d v="1899-12-30T00:00:40Z"/>
        <d v="1899-12-30T01:15:19Z"/>
        <d v="1899-12-30T00:45:55Z"/>
        <d v="1899-12-30T00:45:18Z"/>
        <d v="1899-12-30T00:35:13Z"/>
        <d v="1899-12-30T00:42:55Z"/>
        <d v="1899-12-30T00:46:14Z"/>
        <d v="1899-12-30T00:45:15Z"/>
        <d v="1899-12-30T00:41:10Z"/>
        <d v="1899-12-30T00:44:06Z"/>
        <d v="1899-12-30T00:35:44Z"/>
        <d v="1899-12-30T00:35:00Z"/>
        <d v="1899-12-30T00:33:30Z"/>
        <d v="1899-12-30T00:13:47Z"/>
        <d v="1899-12-30T00:14:13Z"/>
        <d v="1899-12-30T00:31:12Z"/>
        <d v="1899-12-30T00:39:18Z"/>
        <d v="1899-12-30T00:44:08Z"/>
        <d v="1899-12-30T00:45:02Z"/>
        <d v="1899-12-30T00:21:26Z"/>
        <d v="1899-12-30T01:03:20Z"/>
        <d v="1899-12-30T00:30:18Z"/>
        <d v="1899-12-30T00:29:17Z"/>
      </sharedItems>
    </cacheField>
    <cacheField name="Staffed Time" numFmtId="46">
      <sharedItems containsSemiMixedTypes="0" containsDate="1" containsString="0">
        <d v="1899-12-30T07:27:46Z"/>
        <d v="1899-12-30T10:30:00Z"/>
        <d v="1899-12-30T08:59:51Z"/>
        <d v="1899-12-30T09:12:19Z"/>
        <d v="1899-12-30T08:46:02Z"/>
        <d v="1899-12-30T09:11:32Z"/>
        <d v="1899-12-30T09:08:22Z"/>
        <d v="1899-12-30T06:58:20Z"/>
        <d v="1899-12-30T06:58:47Z"/>
        <d v="1899-12-30T08:58:49Z"/>
        <d v="1899-12-30T08:57:50Z"/>
        <d v="1899-12-30T08:44:42Z"/>
        <d v="1899-12-30T08:57:16Z"/>
        <d v="1899-12-30T07:23:54Z"/>
        <d v="1899-12-30T09:07:36Z"/>
        <d v="1899-12-30T02:05:14Z"/>
        <d v="1899-12-30T08:39:45Z"/>
        <d v="1899-12-30T08:52:02Z"/>
        <d v="1899-12-30T07:31:44Z"/>
        <d v="1899-12-30T09:02:30Z"/>
        <d v="1899-12-30T08:41:59Z"/>
        <d v="1899-12-30T08:41:33Z"/>
        <d v="1899-12-30T09:05:17Z"/>
        <d v="1899-12-30T09:03:40Z"/>
        <d v="1899-12-30T09:07:21Z"/>
        <d v="1899-12-30T08:34:03Z"/>
        <d v="1899-12-30T09:10:02Z"/>
        <d v="1899-12-30T02:37:37Z"/>
        <d v="1899-12-30T09:16:39Z"/>
        <d v="1899-12-30T03:34:12Z"/>
        <d v="1899-12-30T08:39:18Z"/>
        <d v="1899-12-30T08:49:23Z"/>
        <d v="1899-12-30T08:35:38Z"/>
        <d v="1899-12-30T03:14:38Z"/>
        <d v="1899-12-30T08:50:32Z"/>
        <d v="1899-12-30T08:44:35Z"/>
        <d v="1899-12-30T08:25:40Z"/>
        <d v="1899-12-30T09:08:16Z"/>
        <d v="1899-12-30T04:47:23Z"/>
        <d v="1899-12-30T07:15:24Z"/>
        <d v="1899-12-30T08:38:31Z"/>
        <d v="1899-12-30T03:44:01Z"/>
        <d v="1899-12-30T08:53:07Z"/>
        <d v="1899-12-30T08:28:37Z"/>
        <d v="1899-12-30T09:08:19Z"/>
        <d v="1899-12-30T09:03:12Z"/>
        <d v="1899-12-30T03:03:43Z"/>
        <d v="1899-12-30T09:22:16Z"/>
        <d v="1899-12-30T08:42:59Z"/>
        <d v="1899-12-30T08:57:13Z"/>
        <d v="1899-12-30T04:34:38Z"/>
        <d v="1899-12-30T09:00:33Z"/>
        <d v="1899-12-30T05:34:25Z"/>
        <d v="1899-12-30T08:37:07Z"/>
        <d v="1899-12-30T08:41:20Z"/>
        <d v="1899-12-30T08:12:17Z"/>
        <d v="1899-12-30T08:12:55Z"/>
        <d v="1899-12-30T09:22:11Z"/>
        <d v="1899-12-30T02:21:10Z"/>
        <d v="1899-12-30T08:26:56Z"/>
        <d v="1899-12-30T08:29:38Z"/>
        <d v="1899-12-30T09:07:37Z"/>
        <d v="1899-12-30T07:28:29Z"/>
        <d v="1899-12-30T08:48:44Z"/>
        <d v="1899-12-30T09:14:00Z"/>
        <d v="1899-12-30T02:36:55Z"/>
        <d v="1899-12-30T07:12:00Z"/>
        <d v="1899-12-30T08:45:20Z"/>
        <d v="1899-12-30T08:52:58Z"/>
        <d v="1899-12-30T07:30:28Z"/>
        <d v="1899-12-30T08:55:06Z"/>
        <d v="1899-12-30T08:40:17Z"/>
        <d v="1899-12-30T09:20:48Z"/>
        <d v="1899-12-30T03:58:59Z"/>
        <d v="1899-12-30T02:31:30Z"/>
        <d v="1899-12-30T08:18:31Z"/>
        <d v="1899-12-30T07:32:54Z"/>
        <d v="1899-12-30T04:45:33Z"/>
        <d v="1899-12-30T07:36:29Z"/>
        <d v="1899-12-30T02:43:53Z"/>
        <d v="1899-12-30T09:07:29Z"/>
        <d v="1899-12-30T09:31:40Z"/>
        <d v="1899-12-30T08:37:16Z"/>
        <d v="1899-12-30T04:20:47Z"/>
        <d v="1899-12-30T09:14:42Z"/>
        <d v="1899-12-30T03:59:42Z"/>
        <d v="1899-12-30T09:09:52Z"/>
        <d v="1899-12-30T08:47:30Z"/>
        <d v="1899-12-30T08:37:21Z"/>
        <d v="1899-12-30T08:00:26Z"/>
        <d v="1899-12-30T06:36:19Z"/>
        <d v="1899-12-30T08:42:30Z"/>
        <d v="1899-12-30T04:41:28Z"/>
        <d v="1899-12-30T06:51:30Z"/>
        <d v="1899-12-30T07:21:49Z"/>
        <d v="1899-12-30T08:38:37Z"/>
        <d v="1899-12-30T09:05:00Z"/>
        <d v="1899-12-30T09:06:04Z"/>
        <d v="1899-12-30T09:05:40Z"/>
        <d v="1899-12-30T08:41:06Z"/>
        <d v="1899-12-30T02:34:22Z"/>
        <d v="1899-12-30T08:21:09Z"/>
        <d v="1899-12-30T07:24:30Z"/>
        <d v="1899-12-30T08:00:02Z"/>
        <d v="1899-12-30T08:51:07Z"/>
        <d v="1899-12-30T09:05:44Z"/>
        <d v="1899-12-30T08:47:50Z"/>
        <d v="1899-12-30T09:02:08Z"/>
        <d v="1899-12-30T07:34:22Z"/>
        <d v="1899-12-30T09:02:01Z"/>
        <d v="1899-12-30T09:11:30Z"/>
        <d v="1899-12-30T09:14:38Z"/>
        <d v="1899-12-30T08:35:05Z"/>
        <d v="1899-12-30T04:42:37Z"/>
        <d v="1899-12-30T09:07:51Z"/>
        <d v="1899-12-30T06:34:57Z"/>
        <d v="1899-12-30T08:06:30Z"/>
        <d v="1899-12-30T04:49:33Z"/>
        <d v="1899-12-30T04:41:48Z"/>
        <d v="1899-12-30T08:05:34Z"/>
        <d v="1899-12-30T05:02:14Z"/>
        <d v="1899-12-30T09:03:27Z"/>
        <d v="1899-12-30T08:56:22Z"/>
        <d v="1899-12-30T08:54:58Z"/>
        <d v="1899-12-30T09:22:54Z"/>
        <d v="1899-12-30T08:31:15Z"/>
        <d v="1899-12-30T03:06:22Z"/>
        <d v="1899-12-30T06:27:29Z"/>
        <d v="1899-12-30T08:26:27Z"/>
        <d v="1899-12-30T04:00:52Z"/>
      </sharedItems>
    </cacheField>
    <cacheField name="Trans Out" numFmtId="0">
      <sharedItems containsSemiMixedTypes="0" containsString="0" containsNumber="1" containsInteger="1">
        <n v="0.0"/>
        <n v="4.0"/>
        <n v="2.0"/>
        <n v="3.0"/>
        <n v="1.0"/>
        <n v="5.0"/>
        <n v="7.0"/>
      </sharedItems>
    </cacheField>
    <cacheField name="Held Calls" numFmtId="0">
      <sharedItems containsSemiMixedTypes="0" containsString="0" containsNumber="1" containsInteger="1">
        <n v="4.0"/>
        <n v="6.0"/>
        <n v="3.0"/>
        <n v="2.0"/>
        <n v="5.0"/>
        <n v="0.0"/>
        <n v="8.0"/>
        <n v="11.0"/>
        <n v="1.0"/>
        <n v="10.0"/>
        <n v="22.0"/>
        <n v="7.0"/>
        <n v="12.0"/>
        <n v="16.0"/>
        <n v="25.0"/>
        <n v="17.0"/>
        <n v="13.0"/>
        <n v="14.0"/>
        <n v="9.0"/>
        <n v="41.0"/>
        <n v="19.0"/>
        <n v="15.0"/>
        <n v="36.0"/>
      </sharedItems>
    </cacheField>
    <cacheField name="CSAT %" numFmtId="9">
      <sharedItems containsString="0" containsBlank="1" containsNumber="1">
        <n v="0.666666666666667"/>
        <n v="1.0"/>
        <n v="0.75"/>
        <m/>
        <n v="0.833333333333333"/>
        <n v="0.5"/>
        <n v="0.857142857142857"/>
        <n v="0.8"/>
        <n v="0.636363636363636"/>
        <n v="0.333333333333333"/>
        <n v="0.4"/>
        <n v="0.0"/>
        <n v="0.888888888888889"/>
        <n v="0.875"/>
        <n v="0.428571428571429"/>
        <n v="0.9"/>
      </sharedItems>
    </cacheField>
    <cacheField name="Tagging %" numFmtId="9">
      <sharedItems containsSemiMixedTypes="0" containsString="0" containsNumber="1">
        <n v="1.02970297029703"/>
        <n v="1.23333333333333"/>
        <n v="1.4811320754717"/>
        <n v="1.0"/>
        <n v="1.51461988304094"/>
        <n v="0.718875502008032"/>
        <n v="1.1301775147929"/>
        <n v="0.270700636942675"/>
        <n v="1.49645390070922"/>
        <n v="0.873684210526316"/>
        <n v="1.00606060606061"/>
        <n v="1.0375"/>
        <n v="1.05050505050505"/>
        <n v="0.793650793650794"/>
        <n v="1.23316062176166"/>
        <n v="1.09090909090909"/>
        <n v="1.12987012987013"/>
        <n v="1.08695652173913"/>
        <n v="0.907407407407407"/>
        <n v="0.786069651741294"/>
        <n v="0.83448275862069"/>
        <n v="1.22374429223744"/>
        <n v="1.35981308411215"/>
        <n v="0.675977653631285"/>
        <n v="1.09411764705882"/>
        <n v="1.3"/>
        <n v="1.01"/>
        <n v="1.46428571428571"/>
        <n v="1.13939393939394"/>
        <n v="0.600896860986547"/>
        <n v="1.98675496688742"/>
        <n v="0.621890547263682"/>
        <n v="1.58620689655172"/>
        <n v="1.01081081081081"/>
        <n v="1.09032258064516"/>
        <n v="0.814814814814815"/>
        <n v="1.03333333333333"/>
        <n v="1.02040816326531"/>
        <n v="1.23076923076923"/>
        <n v="0.866666666666667"/>
        <n v="1.07843137254902"/>
        <n v="1.13297872340426"/>
        <n v="1.16019417475728"/>
        <n v="0.971887550200803"/>
        <n v="0.722772277227723"/>
        <n v="1.06060606060606"/>
        <n v="0.87"/>
        <n v="1.23972602739726"/>
        <n v="1.28057553956835"/>
        <n v="1.09302325581395"/>
        <n v="1.27450980392157"/>
        <n v="1.15873015873016"/>
        <n v="0.92090395480226"/>
        <n v="0.936"/>
        <n v="1.59420289855072"/>
        <n v="1.14184397163121"/>
        <n v="0.956043956043956"/>
        <n v="1.12727272727273"/>
        <n v="1.24590163934426"/>
        <n v="1.15294117647059"/>
        <n v="1.16042780748663"/>
        <n v="0.795580110497238"/>
        <n v="0.791304347826087"/>
        <n v="1.11111111111111"/>
        <n v="0.975"/>
        <n v="1.71806167400881"/>
        <n v="0.925619834710744"/>
        <n v="0.927927927927928"/>
        <n v="0.994565217391304"/>
        <n v="1.29787234042553"/>
        <n v="0.432926829268293"/>
        <n v="1.02898550724638"/>
        <n v="0.347826086956522"/>
        <n v="0.994444444444444"/>
        <n v="1.36507936507937"/>
        <n v="0.963963963963964"/>
        <n v="0.857142857142857"/>
        <n v="3.11538461538462"/>
        <n v="0.915129151291513"/>
        <n v="1.05714285714286"/>
        <n v="1.67105263157895"/>
        <n v="1.90322580645161"/>
        <n v="0.815602836879433"/>
        <n v="1.97297297297297"/>
        <n v="1.31838565022422"/>
        <n v="0.661971830985915"/>
        <n v="0.856"/>
        <n v="1.11764705882353"/>
        <n v="0.914893617021277"/>
        <n v="0.984126984126984"/>
        <n v="2.67142857142857"/>
        <n v="0.912087912087912"/>
        <n v="0.936936936936937"/>
        <n v="0.636752136752137"/>
        <n v="1.18471337579618"/>
        <n v="1.06285714285714"/>
        <n v="1.03398058252427"/>
        <n v="1.00966183574879"/>
        <n v="1.42105263157895"/>
        <n v="0.895833333333333"/>
        <n v="0.870813397129187"/>
        <n v="0.65625"/>
        <n v="0.92741935483871"/>
        <n v="1.13114754098361"/>
        <n v="1.01648351648352"/>
        <n v="0.907692307692308"/>
        <n v="1.39622641509434"/>
        <n v="0.938461538461538"/>
        <n v="1.04605263157895"/>
        <n v="0.758974358974359"/>
        <n v="0.984210526315789"/>
        <n v="1.20338983050847"/>
        <n v="0.893719806763285"/>
        <n v="0.864406779661017"/>
        <n v="1.04504504504505"/>
        <n v="1.30172413793103"/>
        <n v="3.09459459459459"/>
        <n v="1.11702127659574"/>
        <n v="1.1484375"/>
        <n v="1.11392405063291"/>
        <n v="0.885017421602787"/>
        <n v="1.09170305676856"/>
        <n v="1.1528384279476"/>
        <n v="0.902654867256637"/>
        <n v="0.96"/>
        <n v="0.957264957264957"/>
        <n v="1.968"/>
        <n v="3.075"/>
      </sharedItems>
    </cacheField>
    <cacheField name="FLC %" numFmtId="9">
      <sharedItems containsSemiMixedTypes="0" containsString="0" containsNumber="1">
        <n v="0.971153846153846"/>
        <n v="0.977477477477477"/>
        <n v="0.995753715498938"/>
        <n v="0.975609756097561"/>
        <n v="0.961389961389961"/>
        <n v="0.927374301675978"/>
        <n v="0.979057591623037"/>
        <n v="1.0"/>
        <n v="0.990521327014218"/>
        <n v="0.957831325301205"/>
        <n v="0.961538461538462"/>
        <n v="0.9"/>
        <n v="0.970588235294118"/>
        <n v="0.985"/>
        <n v="0.979591836734694"/>
        <n v="0.993670886075949"/>
        <n v="0.98134328358209"/>
        <n v="0.948453608247423"/>
        <n v="0.925619834710744"/>
        <n v="0.967741935483871"/>
        <n v="0.993589743589744"/>
        <n v="0.902439024390244"/>
        <n v="0.99468085106383"/>
        <n v="0.992537313432836"/>
        <n v="0.966666666666667"/>
        <n v="0.96"/>
        <n v="0.973262032085562"/>
        <n v="0.976331360946746"/>
        <n v="0.973118279569892"/>
        <n v="0.98"/>
        <n v="0.982954545454545"/>
        <n v="0.981818181818182"/>
        <n v="0.953051643192488"/>
        <n v="0.99163179916318"/>
        <n v="0.987603305785124"/>
        <n v="0.965753424657534"/>
        <n v="0.971428571428571"/>
        <n v="0.988505747126437"/>
        <n v="0.922651933701657"/>
        <n v="0.966292134831461"/>
        <n v="0.978723404255319"/>
        <n v="0.969230769230769"/>
        <n v="0.993150684931507"/>
        <n v="0.969325153374233"/>
        <n v="0.948717948717949"/>
        <n v="0.940909090909091"/>
        <n v="0.954022988505747"/>
        <n v="0.986842105263158"/>
        <n v="0.959183673469388"/>
        <n v="0.976958525345622"/>
        <n v="0.958333333333333"/>
        <n v="0.978021978021978"/>
        <n v="0.954166666666667"/>
        <n v="0.897435897435897"/>
        <n v="0.987179487179487"/>
        <n v="0.970873786407767"/>
        <n v="0.97196261682243"/>
        <n v="0.989071038251366"/>
        <n v="0.983606557377049"/>
        <n v="0.929577464788732"/>
        <n v="0.932960893854749"/>
        <n v="0.953488372093023"/>
        <n v="0.934579439252336"/>
        <n v="0.995967741935484"/>
        <n v="0.972972972972973"/>
        <n v="0.976377952755906"/>
        <n v="0.983050847457627"/>
        <n v="0.921739130434783"/>
        <n v="0.931506849315068"/>
        <n v="0.986394557823129"/>
        <n v="0.893617021276596"/>
        <n v="0.91588785046729"/>
        <n v="0.954887218045113"/>
        <n v="0.965116279069767"/>
        <n v="0.983870967741935"/>
        <n v="0.975903614457831"/>
        <n v="0.973154362416107"/>
        <n v="0.951612903225806"/>
        <n v="0.966507177033493"/>
        <n v="0.954732510288066"/>
        <n v="0.976744186046512"/>
        <n v="0.989010989010989"/>
        <n v="0.973913043478261"/>
        <n v="0.978260869565217"/>
        <n v="0.978378378378378"/>
        <n v="0.988700564971751"/>
        <n v="0.988571428571429"/>
        <n v="0.959459459459459"/>
        <n v="0.959016393442623"/>
        <n v="0.981132075471698"/>
        <n v="0.939189189189189"/>
        <n v="0.978609625668449"/>
        <n v="0.985915492957746"/>
        <n v="0.983783783783784"/>
        <n v="0.956896551724138"/>
        <n v="0.966887417218543"/>
        <n v="0.995633187772926"/>
        <n v="0.952380952380952"/>
        <n v="0.818181818181818"/>
        <n v="0.960629921259842"/>
        <n v="0.984"/>
        <n v="0.988636363636364"/>
        <n v="0.950980392156863"/>
        <n v="0.928571428571429"/>
        <n v="0.98780487804878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32" sheet="Main"/>
  </cacheSource>
  <cacheFields>
    <cacheField name="Agent Name" numFmtId="0">
      <sharedItems>
        <s v="Abhijeet Joshi"/>
        <s v="Abhinay Dhotre"/>
        <s v="Ajay Gyanchandani"/>
        <s v="Ajay Paramshali"/>
        <s v="Ajit Singh"/>
        <s v="Alka Achat"/>
        <s v="Amip Naik"/>
        <s v="Amir Dalvi"/>
        <s v="Amit Baria"/>
        <s v="Amit Ghume"/>
        <s v="Amit Mane"/>
        <s v="Amit Raut"/>
        <s v="Amol Petkar"/>
        <s v="Amol Tupe"/>
        <s v="Anand Navale"/>
        <s v="Anil Narsale"/>
        <s v="Aniruddha Kotian"/>
        <s v="Ashish Bangera"/>
        <s v="Ashish Sharma"/>
        <s v="Ashishkumar Rajani"/>
        <s v="Ashit Shinde"/>
        <s v="Ashwin Waghela"/>
        <s v="Avinash Gaikwad"/>
        <s v="Avinash Khot"/>
        <s v="Avinash Waghmare"/>
        <s v="Bhushan Gangurde"/>
        <s v="Chandan Thewar"/>
        <s v="Chandrakant Sarkale"/>
        <s v="chetan Cheulkar"/>
        <s v="Darshan Warke"/>
        <s v="Dattatraya Kumble"/>
        <s v="Deepak Patil"/>
        <s v="Deepak Singh"/>
        <s v="Denis Dedhia"/>
        <s v="Devang Khira"/>
        <s v="Dhairyashil Rane"/>
        <s v="Dhirendra Bhujade"/>
        <s v="Dipak Mali"/>
        <s v="Firoz Khan"/>
        <s v="Ganesh Jadhav"/>
        <s v="Harsh Shukla"/>
        <s v="Hitesh Loke"/>
        <s v="Imran Shaikh"/>
        <s v="Ishika Gurav"/>
        <s v="Jacinta Baretto"/>
        <s v="Jayaa Gaur"/>
        <s v="Jayesh Bane"/>
        <s v="Jignasha Chauhan"/>
        <s v="Kalpesh Gangurde"/>
        <s v="Kanchan Gantellu"/>
        <s v="Kapil Daware"/>
        <s v="Kavita Mishra"/>
        <s v="Kishor Galipelly"/>
        <s v="Kishor Ganbas"/>
        <s v="Kumed Chirlekar"/>
        <s v="Mandar Patil"/>
        <s v="Manoj Sonicha"/>
        <s v="Mayur Hingoo"/>
        <s v="Mayur Sonawane"/>
        <s v="Meena Halemani"/>
        <s v="Milind Gawai"/>
        <s v="Miten Achrekar"/>
        <s v="Moses Clare"/>
        <s v="Muthuvel Nadar"/>
        <s v="Nainesh Saidane"/>
        <s v="Omkar Mulekar"/>
        <s v="Paren Shah"/>
        <s v="Prakash Parmar"/>
        <s v="Praneet Rasaikar"/>
        <s v="Prashant Kadam"/>
        <s v="Prateek Joshi"/>
        <s v="Prathamesh Champaner"/>
        <s v="Pratik Joshi"/>
        <s v="Pritesh Jain"/>
        <s v="Priyanka Kadam"/>
        <s v="Radhika Chemburkar"/>
        <s v="Rafique Shaikh"/>
        <s v="Ragupathy S"/>
        <s v="Rahul Chavan"/>
        <s v="Rahul More"/>
        <s v="Rajesh Alhat"/>
        <s v="Rajnish Barnwal"/>
        <s v="Ramesh Nikam"/>
        <s v="Ravikant Sharma"/>
        <s v="Ravindra Kharwate"/>
        <s v="Rhushikesh Toraskar"/>
        <s v="Ritesh Churi"/>
        <s v="Ritesh Karshikar"/>
        <s v="Robin Gahukamble"/>
        <s v="Rohit Dalvi"/>
        <s v="Romil Modi"/>
        <s v="Sagar Walunj"/>
        <s v="Sandesh Shetty"/>
        <s v="Sangeeta Dsouza"/>
        <s v="Santosh Oghale"/>
        <s v="Savan Patil"/>
        <s v="Seema Khutade"/>
        <s v="Shaffi Kulkarni"/>
        <s v="Shahanawaz Shaikh"/>
        <s v="Shaikh Ali"/>
        <s v="Shashikant Chandanshive"/>
        <s v="Shekhar Ghodeswar"/>
        <s v="Shekhar Ramanna"/>
        <s v="Shilpa Sonawane"/>
        <s v="Shimol Kapashi"/>
        <s v="Shruti Vichare"/>
        <s v="Sonali Vaidya"/>
        <s v="Spruha Ramteke"/>
        <s v="Suhas Lad"/>
        <s v="Sunil Fulkar"/>
        <s v="Sunil Pawar"/>
        <s v="Sunil Pillai"/>
        <s v="Sushil Pawar"/>
        <s v="Sushma Gaikwad"/>
        <s v="Swapnali Sawant"/>
        <s v="Tamanna Monga"/>
        <s v="Tejas Mulekar"/>
        <s v="Trupti Salvi"/>
        <s v="Vaibhav Salvi"/>
        <s v="Venkatesh Kadam"/>
        <s v="Vijay Tawale"/>
        <s v="Vijeta Adesera"/>
        <s v="Vishal Murthy"/>
        <s v="Vishal Narkhede"/>
        <s v="Vishal Salvi"/>
        <s v="Yogesh Bhalerao"/>
        <s v="Yogesh Shinde"/>
      </sharedItems>
    </cacheField>
    <cacheField name="Process" numFmtId="0">
      <sharedItems>
        <s v="Inbound"/>
        <s v="Outbound"/>
      </sharedItems>
    </cacheField>
    <cacheField name="Avaya ID" numFmtId="49">
      <sharedItems containsSemiMixedTypes="0" containsString="0" containsNumber="1" containsInteger="1">
        <n v="876388.0"/>
        <n v="873019.0"/>
        <n v="876359.0"/>
        <n v="873071.0"/>
        <n v="873301.0"/>
        <n v="873072.0"/>
        <n v="876366.0"/>
        <n v="873096.0"/>
        <n v="876377.0"/>
        <n v="876337.0"/>
        <n v="873041.0"/>
        <n v="876350.0"/>
        <n v="876385.0"/>
        <n v="873104.0"/>
        <n v="876277.0"/>
        <n v="876327.0"/>
        <n v="873235.0"/>
        <n v="873119.0"/>
        <n v="873080.0"/>
        <n v="876396.0"/>
        <n v="876335.0"/>
        <n v="873222.0"/>
        <n v="873095.0"/>
        <n v="873100.0"/>
        <n v="873292.0"/>
        <n v="873058.0"/>
        <n v="873240.0"/>
        <n v="873239.0"/>
        <n v="876090.0"/>
        <n v="876339.0"/>
        <n v="873218.0"/>
        <n v="873112.0"/>
        <n v="876430.0"/>
        <n v="876324.0"/>
        <n v="873045.0"/>
        <n v="876477.0"/>
        <n v="876387.0"/>
        <n v="873035.0"/>
        <n v="876367.0"/>
        <n v="876325.0"/>
        <n v="876011.0"/>
        <n v="873002.0"/>
        <n v="873011.0"/>
        <n v="873098.0"/>
        <n v="873070.0"/>
        <n v="876351.0"/>
        <n v="876406.0"/>
        <n v="873293.0"/>
        <n v="876381.0"/>
        <n v="873087.0"/>
        <n v="873021.0"/>
        <n v="873036.0"/>
        <n v="873114.0"/>
        <n v="876476.0"/>
        <n v="873213.0"/>
        <n v="873303.0"/>
        <n v="876420.0"/>
        <n v="873110.0"/>
        <n v="873111.0"/>
        <n v="873048.0"/>
        <n v="876398.0"/>
        <n v="876391.0"/>
        <n v="873043.0"/>
        <n v="876376.0"/>
        <n v="876363.0"/>
        <n v="873205.0"/>
        <n v="876423.0"/>
        <n v="873287.0"/>
        <n v="876233.0"/>
        <n v="876328.0"/>
        <n v="873237.0"/>
        <n v="873083.0"/>
        <n v="873232.0"/>
        <n v="873288.0"/>
        <n v="873294.0"/>
        <n v="876352.0"/>
        <n v="873208.0"/>
        <n v="876382.0"/>
        <n v="876471.0"/>
        <n v="873101.0"/>
        <n v="873226.0"/>
        <n v="873296.0"/>
        <n v="876434.0"/>
        <n v="873103.0"/>
        <n v="876349.0"/>
        <n v="876478.0"/>
        <n v="876268.0"/>
        <n v="876329.0"/>
        <n v="876370.0"/>
        <n v="873216.0"/>
        <n v="873214.0"/>
        <n v="873304.0"/>
        <n v="873068.0"/>
        <n v="873297.0"/>
        <n v="873018.0"/>
        <n v="873306.0"/>
        <n v="876358.0"/>
        <n v="876365.0"/>
        <n v="873060.0"/>
        <n v="876356.0"/>
        <n v="876234.0"/>
        <n v="876479.0"/>
        <n v="872694.0"/>
        <n v="873061.0"/>
        <n v="873008.0"/>
        <n v="873062.0"/>
        <n v="876404.0"/>
        <n v="879911.0"/>
        <n v="873300.0"/>
        <n v="873038.0"/>
        <n v="873230.0"/>
        <n v="873014.0"/>
        <n v="876417.0"/>
        <n v="876253.0"/>
        <n v="873039.0"/>
        <n v="873210.0"/>
        <n v="873299.0"/>
        <n v="873307.0"/>
        <n v="876401.0"/>
        <n v="873001.0"/>
        <n v="876355.0"/>
        <n v="876346.0"/>
        <n v="876482.0"/>
        <n v="876436.0"/>
        <n v="876333.0"/>
        <n v="873212.0"/>
      </sharedItems>
    </cacheField>
    <cacheField name="TL Name" numFmtId="49">
      <sharedItems>
        <s v="Sachin G"/>
        <s v="Dinesh"/>
        <s v="Amit Mayekar"/>
        <s v="Sachin K"/>
        <s v="Swapna Dalvi"/>
        <s v="Nishi"/>
        <s v="Shraddha"/>
        <s v="Karthik Iyer"/>
        <s v="Ranjeeta"/>
        <s v="Harshad"/>
        <s v="Arshi"/>
        <s v="Sachin Hundare"/>
        <s v="Kim"/>
        <s v="Neha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32" sheet="Main"/>
  </cacheSource>
  <cacheFields>
    <cacheField name="Agent Name" numFmtId="0">
      <sharedItems>
        <s v="Abhijeet Joshi"/>
        <s v="Abhinay Dhotre"/>
        <s v="Ajay Gyanchandani"/>
        <s v="Ajay Paramshali"/>
        <s v="Ajit Singh"/>
        <s v="Alka Achat"/>
        <s v="Amip Naik"/>
        <s v="Amir Dalvi"/>
        <s v="Amit Baria"/>
        <s v="Amit Ghume"/>
        <s v="Amit Mane"/>
        <s v="Amit Raut"/>
        <s v="Amol Petkar"/>
        <s v="Amol Tupe"/>
        <s v="Anand Navale"/>
        <s v="Anil Narsale"/>
        <s v="Aniruddha Kotian"/>
        <s v="Ashish Bangera"/>
        <s v="Ashish Sharma"/>
        <s v="Ashishkumar Rajani"/>
        <s v="Ashit Shinde"/>
        <s v="Ashwin Waghela"/>
        <s v="Avinash Gaikwad"/>
        <s v="Avinash Khot"/>
        <s v="Avinash Waghmare"/>
        <s v="Bhushan Gangurde"/>
        <s v="Chandan Thewar"/>
        <s v="Chandrakant Sarkale"/>
        <s v="chetan Cheulkar"/>
        <s v="Darshan Warke"/>
        <s v="Dattatraya Kumble"/>
        <s v="Deepak Patil"/>
        <s v="Deepak Singh"/>
        <s v="Denis Dedhia"/>
        <s v="Devang Khira"/>
        <s v="Dhairyashil Rane"/>
        <s v="Dhirendra Bhujade"/>
        <s v="Dipak Mali"/>
        <s v="Firoz Khan"/>
        <s v="Ganesh Jadhav"/>
        <s v="Harsh Shukla"/>
        <s v="Hitesh Loke"/>
        <s v="Imran Shaikh"/>
        <s v="Ishika Gurav"/>
        <s v="Jacinta Baretto"/>
        <s v="Jayaa Gaur"/>
        <s v="Jayesh Bane"/>
        <s v="Jignasha Chauhan"/>
        <s v="Kalpesh Gangurde"/>
        <s v="Kanchan Gantellu"/>
        <s v="Kapil Daware"/>
        <s v="Kavita Mishra"/>
        <s v="Kishor Galipelly"/>
        <s v="Kishor Ganbas"/>
        <s v="Kumed Chirlekar"/>
        <s v="Mandar Patil"/>
        <s v="Manoj Sonicha"/>
        <s v="Mayur Hingoo"/>
        <s v="Mayur Sonawane"/>
        <s v="Meena Halemani"/>
        <s v="Milind Gawai"/>
        <s v="Miten Achrekar"/>
        <s v="Moses Clare"/>
        <s v="Muthuvel Nadar"/>
        <s v="Nainesh Saidane"/>
        <s v="Omkar Mulekar"/>
        <s v="Paren Shah"/>
        <s v="Prakash Parmar"/>
        <s v="Praneet Rasaikar"/>
        <s v="Prashant Kadam"/>
        <s v="Prateek Joshi"/>
        <s v="Prathamesh Champaner"/>
        <s v="Pratik Joshi"/>
        <s v="Pritesh Jain"/>
        <s v="Priyanka Kadam"/>
        <s v="Radhika Chemburkar"/>
        <s v="Rafique Shaikh"/>
        <s v="Ragupathy S"/>
        <s v="Rahul Chavan"/>
        <s v="Rahul More"/>
        <s v="Rajesh Alhat"/>
        <s v="Rajnish Barnwal"/>
        <s v="Ramesh Nikam"/>
        <s v="Ravikant Sharma"/>
        <s v="Ravindra Kharwate"/>
        <s v="Rhushikesh Toraskar"/>
        <s v="Ritesh Churi"/>
        <s v="Ritesh Karshikar"/>
        <s v="Robin Gahukamble"/>
        <s v="Rohit Dalvi"/>
        <s v="Romil Modi"/>
        <s v="Sagar Walunj"/>
        <s v="Sandesh Shetty"/>
        <s v="Sangeeta Dsouza"/>
        <s v="Santosh Oghale"/>
        <s v="Savan Patil"/>
        <s v="Seema Khutade"/>
        <s v="Shaffi Kulkarni"/>
        <s v="Shahanawaz Shaikh"/>
        <s v="Shaikh Ali"/>
        <s v="Shashikant Chandanshive"/>
        <s v="Shekhar Ghodeswar"/>
        <s v="Shekhar Ramanna"/>
        <s v="Shilpa Sonawane"/>
        <s v="Shimol Kapashi"/>
        <s v="Shruti Vichare"/>
        <s v="Sonali Vaidya"/>
        <s v="Spruha Ramteke"/>
        <s v="Suhas Lad"/>
        <s v="Sunil Fulkar"/>
        <s v="Sunil Pawar"/>
        <s v="Sunil Pillai"/>
        <s v="Sushil Pawar"/>
        <s v="Sushma Gaikwad"/>
        <s v="Swapnali Sawant"/>
        <s v="Tamanna Monga"/>
        <s v="Tejas Mulekar"/>
        <s v="Trupti Salvi"/>
        <s v="Vaibhav Salvi"/>
        <s v="Venkatesh Kadam"/>
        <s v="Vijay Tawale"/>
        <s v="Vijeta Adesera"/>
        <s v="Vishal Murthy"/>
        <s v="Vishal Narkhede"/>
        <s v="Vishal Salvi"/>
        <s v="Yogesh Bhalerao"/>
        <s v="Yogesh Shinde"/>
      </sharedItems>
    </cacheField>
    <cacheField name="Process" numFmtId="0">
      <sharedItems>
        <s v="Inbound"/>
        <s v="Outbound"/>
      </sharedItems>
    </cacheField>
    <cacheField name="Avaya ID" numFmtId="49">
      <sharedItems containsSemiMixedTypes="0" containsString="0" containsNumber="1" containsInteger="1">
        <n v="876388.0"/>
        <n v="873019.0"/>
        <n v="876359.0"/>
        <n v="873071.0"/>
        <n v="873301.0"/>
        <n v="873072.0"/>
        <n v="876366.0"/>
        <n v="873096.0"/>
        <n v="876377.0"/>
        <n v="876337.0"/>
        <n v="873041.0"/>
        <n v="876350.0"/>
        <n v="876385.0"/>
        <n v="873104.0"/>
        <n v="876277.0"/>
        <n v="876327.0"/>
        <n v="873235.0"/>
        <n v="873119.0"/>
        <n v="873080.0"/>
        <n v="876396.0"/>
        <n v="876335.0"/>
        <n v="873222.0"/>
        <n v="873095.0"/>
        <n v="873100.0"/>
        <n v="873292.0"/>
        <n v="873058.0"/>
        <n v="873240.0"/>
        <n v="873239.0"/>
        <n v="876090.0"/>
        <n v="876339.0"/>
        <n v="873218.0"/>
        <n v="873112.0"/>
        <n v="876430.0"/>
        <n v="876324.0"/>
        <n v="873045.0"/>
        <n v="876477.0"/>
        <n v="876387.0"/>
        <n v="873035.0"/>
        <n v="876367.0"/>
        <n v="876325.0"/>
        <n v="876011.0"/>
        <n v="873002.0"/>
        <n v="873011.0"/>
        <n v="873098.0"/>
        <n v="873070.0"/>
        <n v="876351.0"/>
        <n v="876406.0"/>
        <n v="873293.0"/>
        <n v="876381.0"/>
        <n v="873087.0"/>
        <n v="873021.0"/>
        <n v="873036.0"/>
        <n v="873114.0"/>
        <n v="876476.0"/>
        <n v="873213.0"/>
        <n v="873303.0"/>
        <n v="876420.0"/>
        <n v="873110.0"/>
        <n v="873111.0"/>
        <n v="873048.0"/>
        <n v="876398.0"/>
        <n v="876391.0"/>
        <n v="873043.0"/>
        <n v="876376.0"/>
        <n v="876363.0"/>
        <n v="873205.0"/>
        <n v="876423.0"/>
        <n v="873287.0"/>
        <n v="876233.0"/>
        <n v="876328.0"/>
        <n v="873237.0"/>
        <n v="873083.0"/>
        <n v="873232.0"/>
        <n v="873288.0"/>
        <n v="873294.0"/>
        <n v="876352.0"/>
        <n v="873208.0"/>
        <n v="876382.0"/>
        <n v="876471.0"/>
        <n v="873101.0"/>
        <n v="873226.0"/>
        <n v="873296.0"/>
        <n v="876434.0"/>
        <n v="873103.0"/>
        <n v="876349.0"/>
        <n v="876478.0"/>
        <n v="876268.0"/>
        <n v="876329.0"/>
        <n v="876370.0"/>
        <n v="873216.0"/>
        <n v="873214.0"/>
        <n v="873304.0"/>
        <n v="873068.0"/>
        <n v="873297.0"/>
        <n v="873018.0"/>
        <n v="873306.0"/>
        <n v="876358.0"/>
        <n v="876365.0"/>
        <n v="873060.0"/>
        <n v="876356.0"/>
        <n v="876234.0"/>
        <n v="876479.0"/>
        <n v="872694.0"/>
        <n v="873061.0"/>
        <n v="873008.0"/>
        <n v="873062.0"/>
        <n v="876404.0"/>
        <n v="879911.0"/>
        <n v="873300.0"/>
        <n v="873038.0"/>
        <n v="873230.0"/>
        <n v="873014.0"/>
        <n v="876417.0"/>
        <n v="876253.0"/>
        <n v="873039.0"/>
        <n v="873210.0"/>
        <n v="873299.0"/>
        <n v="873307.0"/>
        <n v="876401.0"/>
        <n v="873001.0"/>
        <n v="876355.0"/>
        <n v="876346.0"/>
        <n v="876482.0"/>
        <n v="876436.0"/>
        <n v="876333.0"/>
        <n v="873212.0"/>
      </sharedItems>
    </cacheField>
    <cacheField name="TL Name" numFmtId="49">
      <sharedItems>
        <s v="Sachin G"/>
        <s v="Dinesh"/>
        <s v="Amit Mayekar"/>
        <s v="Sachin K"/>
        <s v="Swapna Dalvi"/>
        <s v="Nishi"/>
        <s v="Shraddha"/>
        <s v="Karthik Iyer"/>
        <s v="Ranjeeta"/>
        <s v="Harshad"/>
        <s v="Arshi"/>
        <s v="Sachin Hundare"/>
        <s v="Kim"/>
        <s v="Neha"/>
      </sharedItems>
    </cacheField>
    <cacheField name="Wave" numFmtId="0">
      <sharedItems>
        <s v="Wave 3"/>
        <s v="Wave 2"/>
        <s v="Wave 1"/>
        <s v="Wave 4"/>
        <s v="Wave 5"/>
        <e v="#N/A"/>
        <s v="Fsa"/>
      </sharedItems>
    </cacheField>
    <cacheField name="Date" numFmtId="165">
      <sharedItems containsSemiMixedTypes="0" containsDate="1" containsString="0">
        <d v="2010-04-12T00:00:00Z"/>
        <d v="2010-04-13T00:00:00Z"/>
      </sharedItems>
    </cacheField>
    <cacheField name="Call Ans" numFmtId="0">
      <sharedItems containsSemiMixedTypes="0" containsString="0" containsNumber="1" containsInteger="1">
        <n v="101.0"/>
        <n v="180.0"/>
        <n v="318.0"/>
        <n v="164.0"/>
        <n v="171.0"/>
        <n v="249.0"/>
        <n v="169.0"/>
        <n v="314.0"/>
        <n v="141.0"/>
        <n v="190.0"/>
        <n v="165.0"/>
        <n v="80.0"/>
        <n v="198.0"/>
        <n v="126.0"/>
        <n v="193.0"/>
        <n v="11.0"/>
        <n v="77.0"/>
        <n v="184.0"/>
        <n v="54.0"/>
        <n v="201.0"/>
        <n v="145.0"/>
        <n v="219.0"/>
        <n v="214.0"/>
        <n v="179.0"/>
        <n v="255.0"/>
        <n v="120.0"/>
        <n v="200.0"/>
        <n v="28.0"/>
        <n v="70.0"/>
        <n v="223.0"/>
        <n v="151.0"/>
        <n v="29.0"/>
        <n v="185.0"/>
        <n v="155.0"/>
        <n v="162.0"/>
        <n v="49.0"/>
        <n v="143.0"/>
        <n v="150.0"/>
        <n v="102.0"/>
        <n v="188.0"/>
        <n v="206.0"/>
        <n v="202.0"/>
        <n v="66.0"/>
        <n v="100.0"/>
        <n v="146.0"/>
        <n v="139.0"/>
        <n v="86.0"/>
        <n v="153.0"/>
        <n v="177.0"/>
        <n v="125.0"/>
        <n v="138.0"/>
        <n v="182.0"/>
        <n v="55.0"/>
        <n v="183.0"/>
        <n v="170.0"/>
        <n v="187.0"/>
        <n v="181.0"/>
        <n v="230.0"/>
        <n v="216.0"/>
        <n v="40.0"/>
        <n v="227.0"/>
        <n v="121.0"/>
        <n v="111.0"/>
        <n v="107.0"/>
        <n v="69.0"/>
        <n v="189.0"/>
        <n v="52.0"/>
        <n v="271.0"/>
        <n v="105.0"/>
        <n v="76.0"/>
        <n v="31.0"/>
        <n v="37.0"/>
        <n v="142.0"/>
        <n v="119.0"/>
        <n v="94.0"/>
        <n v="63.0"/>
        <n v="91.0"/>
        <n v="234.0"/>
        <n v="157.0"/>
        <n v="175.0"/>
        <n v="207.0"/>
        <n v="48.0"/>
        <n v="209.0"/>
        <n v="160.0"/>
        <n v="124.0"/>
        <n v="122.0"/>
        <n v="195.0"/>
        <n v="53.0"/>
        <n v="260.0"/>
        <n v="152.0"/>
        <n v="59.0"/>
        <n v="116.0"/>
        <n v="74.0"/>
        <n v="128.0"/>
        <n v="158.0"/>
        <n v="287.0"/>
        <n v="229.0"/>
        <n v="113.0"/>
        <n v="25.0"/>
        <n v="117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16" firstHeaderRow="0" firstDataRow="1" firstDataCol="0"/>
  <pivotFields>
    <pivotField name="Agen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Process" compact="0" outline="0" multipleItemSelectionAllowed="1" showAll="0">
      <items>
        <item x="0"/>
        <item x="1"/>
        <item t="default"/>
      </items>
    </pivotField>
    <pivotField name="Avaya I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TL Name" axis="axisRow" compact="0" numFmtId="49" outline="0" multipleItemSelectionAllowed="1" showAll="0" sortType="ascending">
      <items>
        <item x="2"/>
        <item x="10"/>
        <item x="1"/>
        <item x="9"/>
        <item x="7"/>
        <item x="12"/>
        <item x="13"/>
        <item x="5"/>
        <item x="8"/>
        <item x="0"/>
        <item x="11"/>
        <item x="3"/>
        <item x="6"/>
        <item x="4"/>
        <item t="default"/>
      </items>
    </pivotField>
    <pivotField name="Wav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ate" compact="0" numFmtId="165" outline="0" multipleItemSelectionAllowed="1" showAll="0">
      <items>
        <item x="0"/>
        <item x="1"/>
        <item t="default"/>
      </items>
    </pivotField>
    <pivotField name="Call An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AHT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t="default"/>
      </items>
    </pivotField>
    <pivotField name="Other Time" compact="0" numFmtId="4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AUX Time" compact="0" numFmtId="4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name="Staffed Time" compact="0" numFmtId="4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t="default"/>
      </items>
    </pivotField>
    <pivotField name="Trans Ou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Held Call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SAT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agging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name="FLC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</pivotFields>
  <rowFields>
    <field x="3"/>
  </rowFields>
  <dataFields>
    <dataField name="SUM of Call Ans" fld="6" baseField="0"/>
  </dataFields>
</pivotTableDefinition>
</file>

<file path=xl/pivotTables/pivotTable2.xml><?xml version="1.0" encoding="utf-8"?>
<pivotTableDefinition xmlns="http://schemas.openxmlformats.org/spreadsheetml/2006/main" name="Pivot Table 1 2" cacheId="0" dataCaption="" compact="0" compactData="0">
  <location ref="E3:F18" firstHeaderRow="0" firstDataRow="1" firstDataCol="0"/>
  <pivotFields>
    <pivotField name="Agent 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Process" compact="0" outline="0" multipleItemSelectionAllowed="1" showAll="0">
      <items>
        <item x="0"/>
        <item x="1"/>
        <item t="default"/>
      </items>
    </pivotField>
    <pivotField name="Avaya I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TL Name" axis="axisRow" compact="0" numFmtId="49" outline="0" multipleItemSelectionAllowed="1" showAll="0" sortType="ascending">
      <items>
        <item x="2"/>
        <item x="10"/>
        <item x="1"/>
        <item x="9"/>
        <item x="7"/>
        <item x="12"/>
        <item x="13"/>
        <item x="5"/>
        <item x="8"/>
        <item x="0"/>
        <item x="11"/>
        <item x="3"/>
        <item x="6"/>
        <item x="4"/>
        <item t="default"/>
      </items>
    </pivotField>
    <pivotField name="Wav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ate" compact="0" numFmtId="165" outline="0" multipleItemSelectionAllowed="1" showAll="0">
      <items>
        <item x="0"/>
        <item x="1"/>
        <item t="default"/>
      </items>
    </pivotField>
    <pivotField name="Call A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AHT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t="default"/>
      </items>
    </pivotField>
    <pivotField name="Other Time" compact="0" numFmtId="4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AUX Time" compact="0" numFmtId="4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name="Staffed Time" compact="0" numFmtId="4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t="default"/>
      </items>
    </pivotField>
    <pivotField name="Trans Ou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Held Call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SAT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agging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name="FLC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</pivotFields>
  <rowFields>
    <field x="3"/>
  </rowFields>
  <dataFields>
    <dataField name="COUNTA of Agent Name" fld="0" subtotal="count" baseField="0"/>
  </dataFields>
</pivotTableDefinition>
</file>

<file path=xl/pivotTables/pivotTable3.xml><?xml version="1.0" encoding="utf-8"?>
<pivotTableDefinition xmlns="http://schemas.openxmlformats.org/spreadsheetml/2006/main" name="Pivot Table 1 3" cacheId="1" dataCaption="" compact="0" compactData="0">
  <location ref="L6:M21" firstHeaderRow="0" firstDataRow="1" firstDataCol="0"/>
  <pivotFields>
    <pivotField name="Agent 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Process" compact="0" outline="0" multipleItemSelectionAllowed="1" showAll="0">
      <items>
        <item x="0"/>
        <item x="1"/>
        <item t="default"/>
      </items>
    </pivotField>
    <pivotField name="Avaya I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TL Name" axis="axisRow" compact="0" numFmtId="49" outline="0" multipleItemSelectionAllowed="1" showAll="0" sortType="ascending">
      <items>
        <item x="2"/>
        <item x="10"/>
        <item x="1"/>
        <item x="9"/>
        <item x="7"/>
        <item x="12"/>
        <item x="13"/>
        <item x="5"/>
        <item x="8"/>
        <item x="0"/>
        <item x="11"/>
        <item x="3"/>
        <item x="6"/>
        <item x="4"/>
        <item t="default"/>
      </items>
    </pivotField>
  </pivotFields>
  <rowFields>
    <field x="3"/>
  </rowFields>
  <dataFields>
    <dataField name="COUNTA of Agent Name" fld="0" subtotal="count" baseField="0"/>
  </dataFields>
</pivotTableDefinition>
</file>

<file path=xl/pivotTables/pivotTable4.xml><?xml version="1.0" encoding="utf-8"?>
<pivotTableDefinition xmlns="http://schemas.openxmlformats.org/spreadsheetml/2006/main" name="Pivot Table 1 4" cacheId="2" dataCaption="" compact="0" compactData="0">
  <location ref="J8:K136" firstHeaderRow="0" firstDataRow="1" firstDataCol="0"/>
  <pivotFields>
    <pivotField name="Agent Nam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Process" compact="0" outline="0" multipleItemSelectionAllowed="1" showAll="0">
      <items>
        <item x="0"/>
        <item x="1"/>
        <item t="default"/>
      </items>
    </pivotField>
    <pivotField name="Avaya I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TL Nam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Wav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ate" compact="0" numFmtId="165" outline="0" multipleItemSelectionAllowed="1" showAll="0">
      <items>
        <item x="0"/>
        <item x="1"/>
        <item t="default"/>
      </items>
    </pivotField>
    <pivotField name="Call An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0"/>
  </rowFields>
  <dataFields>
    <dataField name="SUM of Call Ans" fld="6" baseField="0"/>
  </dataFields>
</pivotTableDefinition>
</file>

<file path=xl/tables/table1.xml><?xml version="1.0" encoding="utf-8"?>
<table xmlns="http://schemas.openxmlformats.org/spreadsheetml/2006/main" ref="A1:P16" displayName="Table_1" name="Table_1" id="1">
  <tableColumns count="16">
    <tableColumn name="Agent Name" id="1"/>
    <tableColumn name="Process" id="2"/>
    <tableColumn name="Avaya ID" id="3"/>
    <tableColumn name="TL Name" id="4"/>
    <tableColumn name="Wave" id="5"/>
    <tableColumn name="Date" id="6"/>
    <tableColumn name="Call Ans" id="7"/>
    <tableColumn name="AHT" id="8"/>
    <tableColumn name="Other Time" id="9"/>
    <tableColumn name="AUX Time" id="10"/>
    <tableColumn name="Staffed Time" id="11"/>
    <tableColumn name="Trans Out" id="12"/>
    <tableColumn name="Held Calls" id="13"/>
    <tableColumn name="CSAT %" id="14"/>
    <tableColumn name="Tagging %" id="15"/>
    <tableColumn name="FLC %" id="16"/>
  </tableColumns>
  <tableStyleInfo name="Detail1-Amit Mayeka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17.5"/>
    <col customWidth="1" min="3" max="3" width="15.5"/>
    <col customWidth="1" min="4" max="4" width="17.25"/>
    <col customWidth="1" min="5" max="5" width="13.75"/>
    <col customWidth="1" min="6" max="6" width="9.13"/>
    <col customWidth="1" min="7" max="7" width="17.5"/>
    <col customWidth="1" min="8" max="8" width="16.25"/>
    <col customWidth="1" min="9" max="9" width="13.25"/>
    <col customWidth="1" min="10" max="26" width="9.13"/>
  </cols>
  <sheetData>
    <row r="1" ht="11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 t="s">
        <v>1</v>
      </c>
      <c r="B2" s="3" t="s">
        <v>2</v>
      </c>
      <c r="C2" s="3" t="s">
        <v>3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4" t="s">
        <v>4</v>
      </c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4" t="s">
        <v>5</v>
      </c>
      <c r="C4" s="6" t="str">
        <f>VLOOKUP(B4, Main!$A$8:$D$132, 4, FALSE)</f>
        <v>Sachin K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4" t="s">
        <v>6</v>
      </c>
      <c r="C5" s="6" t="str">
        <f>VLOOKUP(B5, Main!$A$8:$D$132, 4, FALSE)</f>
        <v>Amit Mayekar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4" t="s">
        <v>7</v>
      </c>
      <c r="C6" s="6" t="str">
        <f>VLOOKUP(B6, Main!$A$8:$D$132, 4, FALSE)</f>
        <v>Amit Mayekar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4" t="s">
        <v>8</v>
      </c>
      <c r="C7" s="6" t="str">
        <f>VLOOKUP(B7, Main!$A$8:$D$132, 4, FALSE)</f>
        <v>Arshi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4" t="s">
        <v>9</v>
      </c>
      <c r="C8" s="6" t="str">
        <f>VLOOKUP(B8, Main!$A$8:$D$132, 4, FALSE)</f>
        <v>Amit Mayekar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4" t="s">
        <v>10</v>
      </c>
      <c r="C9" s="6" t="str">
        <f>VLOOKUP(B9, Main!$A$8:$D$132, 4, FALSE)</f>
        <v>Ranjeeta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4" t="s">
        <v>11</v>
      </c>
      <c r="C10" s="6" t="str">
        <f>VLOOKUP(B10, Main!$A$8:$D$132, 4, FALSE)</f>
        <v>Amit Mayekar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4" t="s">
        <v>12</v>
      </c>
      <c r="C11" s="6" t="str">
        <f>VLOOKUP(B11, Main!$A$8:$D$132, 4, FALSE)</f>
        <v>Sachin G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4" t="s">
        <v>13</v>
      </c>
      <c r="C12" s="5" t="str">
        <f>VLOOKUP(B12, Main!$A$8:$D$132, 4, FALSE)</f>
        <v>#N/A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4" t="s">
        <v>14</v>
      </c>
      <c r="C13" s="6" t="str">
        <f>VLOOKUP(B13, Main!$A$8:$D$132, 4, FALSE)</f>
        <v>Dinesh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 t="s">
        <v>15</v>
      </c>
      <c r="B15" s="2" t="s">
        <v>16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3" t="s">
        <v>17</v>
      </c>
      <c r="C16" s="3" t="s">
        <v>18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7" t="s">
        <v>19</v>
      </c>
      <c r="C17" s="4">
        <f>VLOOKUP(B17,'Pivot Table 1'!$A$2:$B$15,2)</f>
        <v>2766</v>
      </c>
      <c r="D17" s="8" t="str">
        <f>F20</f>
        <v/>
      </c>
      <c r="E17" s="1">
        <f>VLOOKUP(B17,'Pivot Table 1'!$A$2:$B$15,2)</f>
        <v>2766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7" t="s">
        <v>20</v>
      </c>
      <c r="C18" s="4">
        <f>VLOOKUP(B18,'Pivot Table 1'!$A$2:$B$15,2)</f>
        <v>1509</v>
      </c>
      <c r="D18" s="8" t="str">
        <f>VLOOKUP(B18,'Pivot Table 1'!$A$2:$B$15,1)</f>
        <v>Karthik Iyer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7" t="s">
        <v>21</v>
      </c>
      <c r="C19" s="4">
        <f>VLOOKUP(B19,'Pivot Table 1'!$A$2:$B$15,2)</f>
        <v>1829</v>
      </c>
      <c r="D19" s="8" t="str">
        <f>VLOOKUP(B19,'Pivot Table 1'!$A$2:$B$15,1)</f>
        <v>Harshad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7" t="s">
        <v>22</v>
      </c>
      <c r="C20" s="4">
        <f>VLOOKUP(B20,'Pivot Table 1'!$A$2:$B$15,2)</f>
        <v>1527</v>
      </c>
      <c r="D20" s="8" t="str">
        <f>VLOOKUP(B20,'Pivot Table 1'!$A$2:$B$15,1)</f>
        <v>Sachin G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7" t="s">
        <v>23</v>
      </c>
      <c r="C21" s="4">
        <f>VLOOKUP(B21,'Pivot Table 1'!$A$2:$B$15,2)</f>
        <v>1463</v>
      </c>
      <c r="D21" s="8" t="str">
        <f>VLOOKUP(B21,'Pivot Table 1'!$A$2:$B$15,1)</f>
        <v>Ranjeeta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 t="s">
        <v>24</v>
      </c>
      <c r="B23" s="2" t="s">
        <v>25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3" t="s">
        <v>17</v>
      </c>
      <c r="C24" s="3" t="s">
        <v>26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7" t="s">
        <v>27</v>
      </c>
      <c r="C25" s="9">
        <f>VLOOKUP(B25,'Pivot Table 1'!$E$4:$F$17,2)</f>
        <v>5</v>
      </c>
      <c r="D25" s="10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7" t="s">
        <v>28</v>
      </c>
      <c r="C26" s="9">
        <f>VLOOKUP(B26,'Pivot Table 1'!$E$4:$F$17,2)</f>
        <v>10</v>
      </c>
      <c r="D26" s="10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7" t="s">
        <v>29</v>
      </c>
      <c r="C27" s="9">
        <f>VLOOKUP(B27,'Pivot Table 1'!$E$4:$F$17,2)</f>
        <v>14</v>
      </c>
      <c r="D27" s="10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7" t="s">
        <v>20</v>
      </c>
      <c r="C28" s="9">
        <f>VLOOKUP(B28,'Pivot Table 1'!$E$4:$F$17,2)</f>
        <v>11</v>
      </c>
      <c r="D28" s="10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7" t="s">
        <v>30</v>
      </c>
      <c r="C29" s="9">
        <f>VLOOKUP(B29,'Pivot Table 1'!$E$4:$F$17,2)</f>
        <v>14</v>
      </c>
      <c r="D29" s="10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7" t="s">
        <v>31</v>
      </c>
      <c r="C30" s="9">
        <f>VLOOKUP(B30,'Pivot Table 1'!$E$4:$F$17,2)</f>
        <v>7</v>
      </c>
      <c r="D30" s="1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7" t="s">
        <v>32</v>
      </c>
      <c r="C31" s="9">
        <f>VLOOKUP(B31,'Pivot Table 1'!$E$4:$F$17,2)</f>
        <v>11</v>
      </c>
      <c r="D31" s="10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7" t="s">
        <v>19</v>
      </c>
      <c r="C32" s="9">
        <f>VLOOKUP(B32,'Pivot Table 1'!$E$4:$F$17,2)</f>
        <v>15</v>
      </c>
      <c r="D32" s="10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 t="s">
        <v>33</v>
      </c>
      <c r="B34" s="2" t="s">
        <v>34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4" t="s">
        <v>35</v>
      </c>
      <c r="C35" s="4" t="s">
        <v>36</v>
      </c>
      <c r="D35" s="5" t="str">
        <f t="shared" ref="D35:D44" si="1">CONCATENATE(B35," ",C35)</f>
        <v>Abhinay Dhotre</v>
      </c>
      <c r="E35" s="1" t="str">
        <f>CONCATENATE(B35, " ", C35)</f>
        <v>Abhinay Dhotre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4" t="s">
        <v>37</v>
      </c>
      <c r="C36" s="4" t="s">
        <v>38</v>
      </c>
      <c r="D36" s="5" t="str">
        <f t="shared" si="1"/>
        <v>Rahul Chavan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4" t="s">
        <v>39</v>
      </c>
      <c r="C37" s="4" t="s">
        <v>40</v>
      </c>
      <c r="D37" s="5" t="str">
        <f t="shared" si="1"/>
        <v>Vishal Murthy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4" t="s">
        <v>41</v>
      </c>
      <c r="C38" s="4" t="s">
        <v>42</v>
      </c>
      <c r="D38" s="5" t="str">
        <f t="shared" si="1"/>
        <v>Jayesh Bane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4" t="s">
        <v>43</v>
      </c>
      <c r="C39" s="4" t="s">
        <v>44</v>
      </c>
      <c r="D39" s="5" t="str">
        <f t="shared" si="1"/>
        <v>Manoj Sonicha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4" t="s">
        <v>45</v>
      </c>
      <c r="C40" s="4" t="s">
        <v>46</v>
      </c>
      <c r="D40" s="5" t="str">
        <f t="shared" si="1"/>
        <v>Prathamesh Champaner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4" t="s">
        <v>47</v>
      </c>
      <c r="C41" s="4" t="s">
        <v>48</v>
      </c>
      <c r="D41" s="5" t="str">
        <f t="shared" si="1"/>
        <v>Chandrakant Sarkale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4" t="s">
        <v>49</v>
      </c>
      <c r="C42" s="4" t="s">
        <v>50</v>
      </c>
      <c r="D42" s="5" t="str">
        <f t="shared" si="1"/>
        <v>Rajnish Barnwal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4" t="s">
        <v>51</v>
      </c>
      <c r="C43" s="4" t="s">
        <v>52</v>
      </c>
      <c r="D43" s="5" t="str">
        <f t="shared" si="1"/>
        <v>Sunil Fulkar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4" t="s">
        <v>53</v>
      </c>
      <c r="C44" s="4" t="s">
        <v>54</v>
      </c>
      <c r="D44" s="5" t="str">
        <f t="shared" si="1"/>
        <v>Muthuvel Nadar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 t="s">
        <v>55</v>
      </c>
      <c r="B47" s="2" t="s">
        <v>56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0" customHeight="1">
      <c r="A48" s="1"/>
      <c r="B48" s="11" t="s">
        <v>57</v>
      </c>
      <c r="C48" s="1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0" customHeight="1">
      <c r="A49" s="1"/>
      <c r="B49" s="13"/>
      <c r="C49" s="14"/>
      <c r="D49" s="15"/>
      <c r="E49" s="1"/>
      <c r="F49" s="1"/>
      <c r="G49" s="1"/>
      <c r="H49" s="1"/>
      <c r="I49" s="1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0" customHeight="1">
      <c r="A50" s="1"/>
      <c r="B50" s="13"/>
      <c r="C50" s="14"/>
      <c r="D50" s="15"/>
      <c r="E50" s="1"/>
      <c r="F50" s="1"/>
      <c r="G50" s="1"/>
      <c r="H50" s="1"/>
      <c r="I50" s="1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0" customHeight="1">
      <c r="A51" s="1"/>
      <c r="B51" s="13"/>
      <c r="C51" s="14"/>
      <c r="D51" s="15"/>
      <c r="E51" s="1"/>
      <c r="F51" s="1"/>
      <c r="G51" s="1"/>
      <c r="H51" s="1"/>
      <c r="I51" s="1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0" customHeight="1">
      <c r="A52" s="1" t="s">
        <v>58</v>
      </c>
      <c r="B52" s="17" t="s">
        <v>59</v>
      </c>
      <c r="C52" s="18"/>
      <c r="D52" s="18"/>
      <c r="E52" s="19"/>
      <c r="F52" s="1"/>
      <c r="G52" s="1"/>
      <c r="H52" s="1"/>
      <c r="I52" s="1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0" customHeight="1">
      <c r="A53" s="1"/>
      <c r="B53" s="20">
        <v>876377.0</v>
      </c>
      <c r="C53" s="21" t="str">
        <f>VLOOKUP(B53,Main!$C$2:$D$132,2,0)</f>
        <v>Amit Mayekar</v>
      </c>
      <c r="D53" s="22"/>
      <c r="E53" s="1"/>
      <c r="F53" s="1"/>
      <c r="G53" s="1"/>
      <c r="H53" s="1"/>
      <c r="I53" s="1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0" customHeight="1">
      <c r="A54" s="1"/>
      <c r="B54" s="20">
        <v>876337.0</v>
      </c>
      <c r="C54" s="21" t="str">
        <f>VLOOKUP(B54,Main!$C$2:$D$132,2,0)</f>
        <v>Amit Mayekar</v>
      </c>
      <c r="D54" s="15"/>
      <c r="E54" s="1"/>
      <c r="F54" s="1"/>
      <c r="G54" s="1"/>
      <c r="H54" s="1"/>
      <c r="I54" s="1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0" customHeight="1">
      <c r="A55" s="1"/>
      <c r="B55" s="20">
        <v>876337.0</v>
      </c>
      <c r="C55" s="21" t="str">
        <f>VLOOKUP(B55,Main!$C$2:$D$132,2,0)</f>
        <v>Amit Mayekar</v>
      </c>
      <c r="D55" s="15"/>
      <c r="E55" s="1"/>
      <c r="F55" s="1"/>
      <c r="G55" s="1"/>
      <c r="H55" s="1"/>
      <c r="I55" s="1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0" customHeight="1">
      <c r="A56" s="1"/>
      <c r="B56" s="20">
        <v>873041.0</v>
      </c>
      <c r="C56" s="21" t="str">
        <f>VLOOKUP(B56,Main!$C$2:$D$132,2,0)</f>
        <v>Sachin G</v>
      </c>
      <c r="D56" s="15"/>
      <c r="E56" s="1"/>
      <c r="F56" s="1"/>
      <c r="G56" s="1"/>
      <c r="H56" s="1"/>
      <c r="I56" s="1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0" customHeight="1">
      <c r="A57" s="1"/>
      <c r="B57" s="20">
        <v>876350.0</v>
      </c>
      <c r="C57" s="21" t="str">
        <f>VLOOKUP(B57,Main!$C$2:$D$132,2,0)</f>
        <v>Swapna Dalvi</v>
      </c>
      <c r="D57" s="15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0" customHeight="1">
      <c r="A58" s="1"/>
      <c r="B58" s="20">
        <v>873095.0</v>
      </c>
      <c r="C58" s="21" t="str">
        <f>VLOOKUP(B58,Main!$C$2:$D$132,2,0)</f>
        <v>Sachin G</v>
      </c>
      <c r="D58" s="15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0" customHeight="1">
      <c r="A59" s="1"/>
      <c r="B59" s="20">
        <v>873100.0</v>
      </c>
      <c r="C59" s="21" t="str">
        <f>VLOOKUP(B59,Main!$C$2:$D$132,2,0)</f>
        <v>Sachin K</v>
      </c>
      <c r="D59" s="15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0" customHeight="1">
      <c r="A60" s="1"/>
      <c r="B60" s="20">
        <v>873292.0</v>
      </c>
      <c r="C60" s="21" t="str">
        <f>VLOOKUP(B60,Main!$C$2:$D$132,2,0)</f>
        <v>Harshad</v>
      </c>
      <c r="D60" s="15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0" customHeight="1">
      <c r="A61" s="1"/>
      <c r="B61" s="20">
        <v>873058.0</v>
      </c>
      <c r="C61" s="21" t="str">
        <f>VLOOKUP(B61,Main!$C$2:$D$132,2,0)</f>
        <v>Swapna Dalvi</v>
      </c>
      <c r="D61" s="15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20">
        <v>873240.0</v>
      </c>
      <c r="C62" s="21" t="str">
        <f>VLOOKUP(B62,Main!$C$2:$D$132,2,0)</f>
        <v>Arshi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20">
        <v>873112.0</v>
      </c>
      <c r="C63" s="21" t="str">
        <f>VLOOKUP(B63,Main!$C$2:$D$132,2,0)</f>
        <v>Harshad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20">
        <v>876430.0</v>
      </c>
      <c r="C64" s="21" t="str">
        <f>VLOOKUP(B64,Main!$C$2:$D$132,2,0)</f>
        <v>Nishi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4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 t="s">
        <v>60</v>
      </c>
      <c r="B66" s="2" t="s">
        <v>61</v>
      </c>
      <c r="C66" s="4" t="s">
        <v>62</v>
      </c>
      <c r="D66" s="4" t="s">
        <v>63</v>
      </c>
      <c r="E66" s="4" t="s">
        <v>64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23">
        <v>39576.0</v>
      </c>
      <c r="C67" s="24">
        <f t="shared" ref="C67:C72" si="2">DATEVALUE(B67)</f>
        <v>45420</v>
      </c>
      <c r="D67" s="4">
        <f t="shared" ref="D67:D72" si="3">MONTH(B67)</f>
        <v>5</v>
      </c>
      <c r="E67" s="4">
        <f t="shared" ref="E67:E72" si="4">YEAR(B67)</f>
        <v>2008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23">
        <v>39577.0</v>
      </c>
      <c r="C68" s="24">
        <f t="shared" si="2"/>
        <v>45421</v>
      </c>
      <c r="D68" s="4">
        <f t="shared" si="3"/>
        <v>5</v>
      </c>
      <c r="E68" s="4">
        <f t="shared" si="4"/>
        <v>2008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23">
        <v>41039.0</v>
      </c>
      <c r="C69" s="24">
        <f t="shared" si="2"/>
        <v>45422</v>
      </c>
      <c r="D69" s="4">
        <f t="shared" si="3"/>
        <v>5</v>
      </c>
      <c r="E69" s="4">
        <f t="shared" si="4"/>
        <v>2012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23">
        <v>44692.0</v>
      </c>
      <c r="C70" s="24">
        <f t="shared" si="2"/>
        <v>45423</v>
      </c>
      <c r="D70" s="4">
        <f t="shared" si="3"/>
        <v>5</v>
      </c>
      <c r="E70" s="4">
        <f t="shared" si="4"/>
        <v>2022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23">
        <v>39580.0</v>
      </c>
      <c r="C71" s="24">
        <f t="shared" si="2"/>
        <v>45424</v>
      </c>
      <c r="D71" s="4">
        <f t="shared" si="3"/>
        <v>5</v>
      </c>
      <c r="E71" s="4">
        <f t="shared" si="4"/>
        <v>2008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23">
        <v>46612.0</v>
      </c>
      <c r="C72" s="24">
        <f t="shared" si="2"/>
        <v>45517</v>
      </c>
      <c r="D72" s="4">
        <f t="shared" si="3"/>
        <v>8</v>
      </c>
      <c r="E72" s="4">
        <f t="shared" si="4"/>
        <v>2027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 t="s">
        <v>65</v>
      </c>
      <c r="B76" s="2" t="s">
        <v>66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3" t="s">
        <v>67</v>
      </c>
      <c r="C78" s="25" t="s">
        <v>68</v>
      </c>
      <c r="D78" s="25" t="s">
        <v>69</v>
      </c>
      <c r="E78" s="1"/>
      <c r="F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26" t="s">
        <v>70</v>
      </c>
      <c r="C79" s="27">
        <v>1.02970297029703</v>
      </c>
      <c r="D79" s="27">
        <v>0.971153846153846</v>
      </c>
      <c r="E79" s="1"/>
      <c r="F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26" t="s">
        <v>71</v>
      </c>
      <c r="C80" s="27">
        <v>1.23333333333333</v>
      </c>
      <c r="D80" s="27">
        <v>0.977477477477477</v>
      </c>
      <c r="E80" s="1"/>
      <c r="F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26" t="s">
        <v>72</v>
      </c>
      <c r="C81" s="27">
        <v>1.4811320754717</v>
      </c>
      <c r="D81" s="27">
        <v>0.995753715498938</v>
      </c>
      <c r="E81" s="1"/>
      <c r="F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26" t="s">
        <v>73</v>
      </c>
      <c r="C82" s="27">
        <v>1.0</v>
      </c>
      <c r="D82" s="27">
        <v>0.975609756097561</v>
      </c>
      <c r="E82" s="1"/>
      <c r="F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26" t="s">
        <v>74</v>
      </c>
      <c r="C83" s="27">
        <v>1.51461988304094</v>
      </c>
      <c r="D83" s="27">
        <v>0.961389961389961</v>
      </c>
      <c r="E83" s="1"/>
      <c r="F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26" t="s">
        <v>75</v>
      </c>
      <c r="C84" s="27">
        <v>0.718875502008032</v>
      </c>
      <c r="D84" s="27">
        <v>0.927374301675978</v>
      </c>
      <c r="E84" s="1"/>
      <c r="F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26" t="s">
        <v>4</v>
      </c>
      <c r="C85" s="27">
        <v>1.1301775147929</v>
      </c>
      <c r="D85" s="27">
        <v>0.979057591623037</v>
      </c>
      <c r="E85" s="1"/>
      <c r="F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28" t="s">
        <v>76</v>
      </c>
      <c r="C86" s="27">
        <v>0.270700636942675</v>
      </c>
      <c r="D86" s="27">
        <v>1.0</v>
      </c>
      <c r="E86" s="1"/>
      <c r="F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28" t="s">
        <v>77</v>
      </c>
      <c r="C87" s="27">
        <v>1.49645390070922</v>
      </c>
      <c r="D87" s="27">
        <v>0.990521327014218</v>
      </c>
      <c r="E87" s="1"/>
      <c r="F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28" t="s">
        <v>78</v>
      </c>
      <c r="C88" s="27">
        <v>0.873684210526316</v>
      </c>
      <c r="D88" s="27">
        <v>0.957831325301205</v>
      </c>
      <c r="E88" s="1"/>
      <c r="F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 t="s">
        <v>79</v>
      </c>
      <c r="B91" s="29" t="s">
        <v>80</v>
      </c>
      <c r="C91" s="1"/>
      <c r="D91" s="1"/>
      <c r="E91" s="1"/>
      <c r="F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 t="s">
        <v>81</v>
      </c>
      <c r="C92" s="7" t="str">
        <f t="shared" ref="C92:C96" si="5">PROPER(B92)</f>
        <v>Mayuri Shenai</v>
      </c>
      <c r="D92" s="1"/>
      <c r="E92" s="1"/>
      <c r="F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 t="s">
        <v>82</v>
      </c>
      <c r="C93" s="7" t="str">
        <f t="shared" si="5"/>
        <v>Girish Joshi</v>
      </c>
      <c r="D93" s="1"/>
      <c r="E93" s="1"/>
      <c r="F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 t="s">
        <v>83</v>
      </c>
      <c r="C94" s="7" t="str">
        <f t="shared" si="5"/>
        <v>Anil Kapoor</v>
      </c>
      <c r="D94" s="1"/>
      <c r="E94" s="1"/>
      <c r="F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 t="s">
        <v>84</v>
      </c>
      <c r="C95" s="7" t="str">
        <f t="shared" si="5"/>
        <v>Mukesh Poojari</v>
      </c>
      <c r="D95" s="1"/>
      <c r="E95" s="1"/>
      <c r="F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 t="s">
        <v>85</v>
      </c>
      <c r="C96" s="7" t="str">
        <f t="shared" si="5"/>
        <v>Hanif Shaikh</v>
      </c>
      <c r="D96" s="1"/>
      <c r="E96" s="1"/>
      <c r="F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 t="s">
        <v>86</v>
      </c>
      <c r="B99" s="2" t="s">
        <v>87</v>
      </c>
      <c r="C99" s="1"/>
      <c r="D99" s="1"/>
      <c r="E99" s="1"/>
      <c r="F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30" t="s">
        <v>78</v>
      </c>
      <c r="C101" s="30" t="str">
        <f>IFERROR(__xludf.DUMMYFUNCTION("SPLIT(B101, "" "")"),"Amit")</f>
        <v>Amit</v>
      </c>
      <c r="D101" s="30" t="str">
        <f>IFERROR(__xludf.DUMMYFUNCTION("""COMPUTED_VALUE"""),"Ghume")</f>
        <v>Ghume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4" t="s">
        <v>88</v>
      </c>
      <c r="C102" s="30" t="str">
        <f>IFERROR(__xludf.DUMMYFUNCTION("SPLIT(B102, "" "")"),"Ashishkumar")</f>
        <v>Ashishkumar</v>
      </c>
      <c r="D102" s="4" t="str">
        <f>IFERROR(__xludf.DUMMYFUNCTION("""COMPUTED_VALUE"""),"Rajani")</f>
        <v>Rajani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4" t="s">
        <v>89</v>
      </c>
      <c r="C103" s="30" t="str">
        <f>IFERROR(__xludf.DUMMYFUNCTION("SPLIT(B103, "" "")"),"Ashit")</f>
        <v>Ashit</v>
      </c>
      <c r="D103" s="4" t="str">
        <f>IFERROR(__xludf.DUMMYFUNCTION("""COMPUTED_VALUE"""),"Shinde")</f>
        <v>Shinde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4" t="s">
        <v>6</v>
      </c>
      <c r="C104" s="30" t="str">
        <f>IFERROR(__xludf.DUMMYFUNCTION("SPLIT(B104, "" "")"),"Dhirendra")</f>
        <v>Dhirendra</v>
      </c>
      <c r="D104" s="4" t="str">
        <f>IFERROR(__xludf.DUMMYFUNCTION("""COMPUTED_VALUE"""),"Bhujade")</f>
        <v>Bhujade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4" t="s">
        <v>90</v>
      </c>
      <c r="C105" s="30" t="str">
        <f>IFERROR(__xludf.DUMMYFUNCTION("SPLIT(B105, "" "")"),"Jayaa")</f>
        <v>Jayaa</v>
      </c>
      <c r="D105" s="4" t="str">
        <f>IFERROR(__xludf.DUMMYFUNCTION("""COMPUTED_VALUE"""),"Gaur")</f>
        <v>Gaur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4" t="s">
        <v>91</v>
      </c>
      <c r="C106" s="30" t="str">
        <f>IFERROR(__xludf.DUMMYFUNCTION("SPLIT(B106, "" "")"),"Pritesh")</f>
        <v>Pritesh</v>
      </c>
      <c r="D106" s="4" t="str">
        <f>IFERROR(__xludf.DUMMYFUNCTION("""COMPUTED_VALUE"""),"Jain")</f>
        <v>Jain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4" t="s">
        <v>92</v>
      </c>
      <c r="C107" s="30" t="str">
        <f>IFERROR(__xludf.DUMMYFUNCTION("SPLIT(B107, "" "")"),"Ragupathy")</f>
        <v>Ragupathy</v>
      </c>
      <c r="D107" s="4" t="str">
        <f>IFERROR(__xludf.DUMMYFUNCTION("""COMPUTED_VALUE"""),"S")</f>
        <v>S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4" t="s">
        <v>93</v>
      </c>
      <c r="C108" s="30" t="str">
        <f>IFERROR(__xludf.DUMMYFUNCTION("SPLIT(B108, "" "")"),"Sagar")</f>
        <v>Sagar</v>
      </c>
      <c r="D108" s="4" t="str">
        <f>IFERROR(__xludf.DUMMYFUNCTION("""COMPUTED_VALUE"""),"Walunj")</f>
        <v>Walunj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4" t="s">
        <v>11</v>
      </c>
      <c r="C109" s="30" t="str">
        <f>IFERROR(__xludf.DUMMYFUNCTION("SPLIT(B109, "" "")"),"Sangeeta")</f>
        <v>Sangeeta</v>
      </c>
      <c r="D109" s="4" t="str">
        <f>IFERROR(__xludf.DUMMYFUNCTION("""COMPUTED_VALUE"""),"Dsouza")</f>
        <v>Dsouza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4" t="s">
        <v>9</v>
      </c>
      <c r="C110" s="30" t="str">
        <f>IFERROR(__xludf.DUMMYFUNCTION("SPLIT(B110, "" "")"),"Seema")</f>
        <v>Seema</v>
      </c>
      <c r="D110" s="4" t="str">
        <f>IFERROR(__xludf.DUMMYFUNCTION("""COMPUTED_VALUE"""),"Khutade")</f>
        <v>Khutade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4" t="s">
        <v>94</v>
      </c>
      <c r="C111" s="30" t="str">
        <f>IFERROR(__xludf.DUMMYFUNCTION("SPLIT(B111, "" "")"),"Shaikh")</f>
        <v>Shaikh</v>
      </c>
      <c r="D111" s="4" t="str">
        <f>IFERROR(__xludf.DUMMYFUNCTION("""COMPUTED_VALUE"""),"Ali")</f>
        <v>Ali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4" t="s">
        <v>7</v>
      </c>
      <c r="C112" s="30" t="str">
        <f>IFERROR(__xludf.DUMMYFUNCTION("SPLIT(B112, "" "")"),"Sushil")</f>
        <v>Sushil</v>
      </c>
      <c r="D112" s="4" t="str">
        <f>IFERROR(__xludf.DUMMYFUNCTION("""COMPUTED_VALUE"""),"Pawar")</f>
        <v>Pawar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 t="s">
        <v>95</v>
      </c>
      <c r="B115" s="2" t="s">
        <v>96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 t="s">
        <v>67</v>
      </c>
      <c r="C116" s="1" t="s">
        <v>97</v>
      </c>
      <c r="D116" s="1"/>
      <c r="E116" s="5" t="s">
        <v>98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 t="s">
        <v>74</v>
      </c>
      <c r="C117" s="31">
        <v>1.51461988304094</v>
      </c>
      <c r="D117" s="10"/>
      <c r="E117" s="7">
        <f t="shared" ref="E117:E126" si="6">RANK(C117,$C$117:$C$126)</f>
        <v>1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 t="s">
        <v>77</v>
      </c>
      <c r="C118" s="31">
        <v>1.49645390070922</v>
      </c>
      <c r="D118" s="10"/>
      <c r="E118" s="7">
        <f t="shared" si="6"/>
        <v>2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 t="s">
        <v>4</v>
      </c>
      <c r="C119" s="31">
        <v>1.1301775147929</v>
      </c>
      <c r="D119" s="10"/>
      <c r="E119" s="7">
        <f t="shared" si="6"/>
        <v>3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 t="s">
        <v>99</v>
      </c>
      <c r="C120" s="31">
        <v>1.05050505050505</v>
      </c>
      <c r="D120" s="10"/>
      <c r="E120" s="7">
        <f t="shared" si="6"/>
        <v>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 t="s">
        <v>100</v>
      </c>
      <c r="C121" s="31">
        <v>1.0375</v>
      </c>
      <c r="D121" s="10"/>
      <c r="E121" s="7">
        <f t="shared" si="6"/>
        <v>5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 t="s">
        <v>78</v>
      </c>
      <c r="C122" s="31">
        <v>1.00606060606061</v>
      </c>
      <c r="D122" s="10"/>
      <c r="E122" s="7">
        <f t="shared" si="6"/>
        <v>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 t="s">
        <v>73</v>
      </c>
      <c r="C123" s="31">
        <v>1.0</v>
      </c>
      <c r="D123" s="10"/>
      <c r="E123" s="7">
        <f t="shared" si="6"/>
        <v>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 t="s">
        <v>101</v>
      </c>
      <c r="C124" s="31">
        <v>0.793650793650794</v>
      </c>
      <c r="D124" s="10"/>
      <c r="E124" s="7">
        <f t="shared" si="6"/>
        <v>8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 t="s">
        <v>75</v>
      </c>
      <c r="C125" s="31">
        <v>0.718875502008032</v>
      </c>
      <c r="D125" s="10"/>
      <c r="E125" s="7">
        <f t="shared" si="6"/>
        <v>9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 t="s">
        <v>76</v>
      </c>
      <c r="C126" s="31">
        <v>0.270700636942675</v>
      </c>
      <c r="D126" s="10"/>
      <c r="E126" s="7">
        <f t="shared" si="6"/>
        <v>10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7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 t="s">
        <v>102</v>
      </c>
      <c r="B128" s="2" t="s">
        <v>103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 t="s">
        <v>67</v>
      </c>
      <c r="C129" s="1"/>
      <c r="D129" s="32" t="s">
        <v>104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33" t="s">
        <v>73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33" t="s">
        <v>74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34" t="s">
        <v>75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33" t="s">
        <v>4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33" t="s">
        <v>76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33" t="s">
        <v>77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33" t="s">
        <v>78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33" t="s">
        <v>100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33" t="s">
        <v>99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33" t="s">
        <v>101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 t="s">
        <v>105</v>
      </c>
      <c r="B140" s="2" t="s">
        <v>106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35" t="s">
        <v>107</v>
      </c>
      <c r="C142" s="35" t="s">
        <v>108</v>
      </c>
      <c r="D142" s="35" t="s">
        <v>109</v>
      </c>
      <c r="E142" s="35" t="s">
        <v>110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 t="s">
        <v>111</v>
      </c>
      <c r="C143" s="1">
        <v>2.0</v>
      </c>
      <c r="D143" s="1">
        <v>1.0</v>
      </c>
      <c r="E143" s="36"/>
      <c r="F143" s="1"/>
      <c r="G143" s="10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 t="s">
        <v>112</v>
      </c>
      <c r="C144" s="1">
        <v>5.0</v>
      </c>
      <c r="D144" s="1">
        <v>2.0</v>
      </c>
      <c r="E144" s="36"/>
      <c r="F144" s="1"/>
      <c r="G144" s="10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 t="s">
        <v>113</v>
      </c>
      <c r="C145" s="1">
        <v>1.0</v>
      </c>
      <c r="D145" s="1">
        <v>3.0</v>
      </c>
      <c r="E145" s="36"/>
      <c r="F145" s="1"/>
      <c r="G145" s="10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 t="s">
        <v>111</v>
      </c>
      <c r="C146" s="1">
        <v>2.0</v>
      </c>
      <c r="D146" s="1">
        <v>1.0</v>
      </c>
      <c r="E146" s="36"/>
      <c r="F146" s="1"/>
      <c r="G146" s="10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 t="s">
        <v>112</v>
      </c>
      <c r="C147" s="1">
        <v>5.0</v>
      </c>
      <c r="D147" s="1">
        <v>2.0</v>
      </c>
      <c r="E147" s="36"/>
      <c r="F147" s="1"/>
      <c r="G147" s="10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 t="s">
        <v>114</v>
      </c>
      <c r="C148" s="1">
        <v>0.0</v>
      </c>
      <c r="D148" s="1">
        <v>0.0</v>
      </c>
      <c r="E148" s="36"/>
      <c r="F148" s="1"/>
      <c r="G148" s="10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 t="s">
        <v>115</v>
      </c>
      <c r="C149" s="1">
        <v>2.0</v>
      </c>
      <c r="D149" s="1">
        <v>0.0</v>
      </c>
      <c r="E149" s="36"/>
      <c r="F149" s="1"/>
      <c r="G149" s="10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>
        <f t="shared" ref="C150:D150" si="7">SUM(C143:C149)</f>
        <v>17</v>
      </c>
      <c r="D150" s="1">
        <f t="shared" si="7"/>
        <v>9</v>
      </c>
      <c r="E150" s="1">
        <f>SUM(C150:D150)</f>
        <v>26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 t="s">
        <v>116</v>
      </c>
      <c r="B151" s="2" t="s">
        <v>117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37" t="s">
        <v>118</v>
      </c>
      <c r="C153" s="38" t="s">
        <v>119</v>
      </c>
      <c r="D153" s="38" t="s">
        <v>120</v>
      </c>
      <c r="E153" s="32" t="s">
        <v>121</v>
      </c>
      <c r="F153" s="32" t="s">
        <v>122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37" t="s">
        <v>123</v>
      </c>
      <c r="C154" s="39">
        <v>30.0</v>
      </c>
      <c r="D154" s="39">
        <v>28.0</v>
      </c>
      <c r="E154" s="40">
        <f t="shared" ref="E154:E157" si="8">F154/C154</f>
        <v>0.06666666667</v>
      </c>
      <c r="F154" s="1">
        <f t="shared" ref="F154:F157" si="9">C154-D154</f>
        <v>2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37" t="s">
        <v>124</v>
      </c>
      <c r="C155" s="39">
        <v>60.0</v>
      </c>
      <c r="D155" s="39">
        <v>55.0</v>
      </c>
      <c r="E155" s="40">
        <f t="shared" si="8"/>
        <v>0.08333333333</v>
      </c>
      <c r="F155" s="1">
        <f t="shared" si="9"/>
        <v>5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37" t="s">
        <v>125</v>
      </c>
      <c r="C156" s="39">
        <v>33.0</v>
      </c>
      <c r="D156" s="39">
        <v>30.0</v>
      </c>
      <c r="E156" s="40">
        <f t="shared" si="8"/>
        <v>0.09090909091</v>
      </c>
      <c r="F156" s="1">
        <f t="shared" si="9"/>
        <v>3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37" t="s">
        <v>126</v>
      </c>
      <c r="C157" s="39">
        <v>10.0</v>
      </c>
      <c r="D157" s="39">
        <v>10.0</v>
      </c>
      <c r="E157" s="40">
        <f t="shared" si="8"/>
        <v>0</v>
      </c>
      <c r="F157" s="1">
        <f t="shared" si="9"/>
        <v>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32" t="s">
        <v>127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 t="s">
        <v>128</v>
      </c>
      <c r="B159" s="2" t="s">
        <v>129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28" t="s">
        <v>130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28" t="s">
        <v>37</v>
      </c>
      <c r="C162" s="1"/>
      <c r="D162" s="1"/>
      <c r="E162" s="4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28"/>
      <c r="C163" s="1"/>
      <c r="D163" s="1"/>
      <c r="E163" s="4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28" t="s">
        <v>131</v>
      </c>
      <c r="C164" s="1"/>
      <c r="D164" s="1"/>
      <c r="E164" s="4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28" t="s">
        <v>132</v>
      </c>
      <c r="C165" s="1"/>
      <c r="D165" s="1"/>
      <c r="E165" s="4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28"/>
      <c r="C166" s="1"/>
      <c r="D166" s="1"/>
      <c r="E166" s="4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28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28">
        <v>652.0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7" t="s">
        <v>133</v>
      </c>
      <c r="B169" s="7">
        <f>COUNTBLANK(B161:B168)</f>
        <v>3</v>
      </c>
      <c r="C169" s="35" t="s">
        <v>134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32" t="s">
        <v>127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32" t="s">
        <v>135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 t="s">
        <v>136</v>
      </c>
      <c r="B173" s="2" t="s">
        <v>137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42" t="s">
        <v>138</v>
      </c>
      <c r="C175" s="42" t="s">
        <v>139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43">
        <v>0.5</v>
      </c>
      <c r="C176" s="27">
        <v>1.0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43">
        <v>0.0416666666666667</v>
      </c>
      <c r="C177" s="27">
        <v>1.0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43">
        <v>0.0833333333333333</v>
      </c>
      <c r="C178" s="27">
        <v>1.0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43">
        <v>0.125</v>
      </c>
      <c r="C179" s="27">
        <v>1.0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43">
        <v>0.166666666666667</v>
      </c>
      <c r="C180" s="27">
        <v>1.0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43">
        <v>0.208333333333333</v>
      </c>
      <c r="C181" s="27">
        <v>1.0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43">
        <v>0.25</v>
      </c>
      <c r="C182" s="27">
        <v>0.996044303797468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43">
        <v>0.291666666666667</v>
      </c>
      <c r="C183" s="27">
        <v>0.984314980793854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43">
        <v>0.333333333333333</v>
      </c>
      <c r="C184" s="27">
        <v>0.117154811715481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43">
        <v>0.375</v>
      </c>
      <c r="C185" s="27">
        <v>0.00478199718706048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43">
        <v>0.416666666666667</v>
      </c>
      <c r="C186" s="27">
        <v>0.08058017727639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43">
        <v>0.458333333333333</v>
      </c>
      <c r="C187" s="27">
        <v>0.0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43">
        <v>0.5</v>
      </c>
      <c r="C188" s="27">
        <v>0.0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43">
        <v>0.0416666666666667</v>
      </c>
      <c r="C189" s="27">
        <v>0.576657281801894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43">
        <v>0.0833333333333333</v>
      </c>
      <c r="C190" s="27">
        <v>0.973602853745541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43">
        <v>0.125</v>
      </c>
      <c r="C191" s="27">
        <v>0.922407712203151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43">
        <v>0.166666666666667</v>
      </c>
      <c r="C192" s="27">
        <v>0.966133584195673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43">
        <v>0.208333333333333</v>
      </c>
      <c r="C193" s="27">
        <v>0.999090288833295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43">
        <v>0.25</v>
      </c>
      <c r="C194" s="27">
        <v>0.765842916564717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43">
        <v>0.291666666666667</v>
      </c>
      <c r="C195" s="27">
        <v>0.789176470588235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43">
        <v>0.333333333333333</v>
      </c>
      <c r="C196" s="27">
        <v>0.781483325037332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43">
        <v>0.375</v>
      </c>
      <c r="C197" s="27">
        <v>0.79990426041168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43">
        <v>0.416666666666667</v>
      </c>
      <c r="C198" s="27">
        <v>0.997060984570169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43">
        <v>0.458333333333333</v>
      </c>
      <c r="C199" s="27">
        <v>1.0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44">
        <f>COUNTIF(C176:C199,"&lt;80%")</f>
        <v>10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 t="s">
        <v>140</v>
      </c>
      <c r="B201" s="2" t="s">
        <v>141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32" t="s">
        <v>57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32" t="s">
        <v>135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 t="s">
        <v>142</v>
      </c>
      <c r="B204" s="1" t="s">
        <v>143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3" t="s">
        <v>144</v>
      </c>
      <c r="C206" s="3" t="s">
        <v>145</v>
      </c>
      <c r="D206" s="25" t="s">
        <v>146</v>
      </c>
      <c r="E206" s="32" t="s">
        <v>147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4">
        <v>0.333333333333333</v>
      </c>
      <c r="C207" s="4">
        <v>0.375</v>
      </c>
      <c r="D207" s="4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4">
        <v>0.416666666666667</v>
      </c>
      <c r="C208" s="4">
        <v>0.375</v>
      </c>
      <c r="D208" s="45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41"/>
      <c r="D209" s="46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 t="s">
        <v>148</v>
      </c>
      <c r="B210" s="1" t="s">
        <v>149</v>
      </c>
      <c r="C210" s="41"/>
      <c r="D210" s="46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47" t="s">
        <v>150</v>
      </c>
      <c r="C211" s="47" t="s">
        <v>151</v>
      </c>
      <c r="D211" s="46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47" t="s">
        <v>152</v>
      </c>
      <c r="C212" s="47" t="s">
        <v>153</v>
      </c>
      <c r="D212" s="46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47" t="s">
        <v>154</v>
      </c>
      <c r="C213" s="47" t="s">
        <v>155</v>
      </c>
      <c r="D213" s="46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47" t="s">
        <v>156</v>
      </c>
      <c r="C214" s="47" t="s">
        <v>157</v>
      </c>
      <c r="D214" s="46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47" t="s">
        <v>158</v>
      </c>
      <c r="C215" s="47" t="s">
        <v>159</v>
      </c>
      <c r="D215" s="46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47" t="s">
        <v>160</v>
      </c>
      <c r="C216" s="47" t="s">
        <v>161</v>
      </c>
      <c r="D216" s="46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47" t="s">
        <v>162</v>
      </c>
      <c r="C217" s="47" t="s">
        <v>163</v>
      </c>
      <c r="D217" s="46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47" t="s">
        <v>164</v>
      </c>
      <c r="C218" s="47" t="s">
        <v>164</v>
      </c>
      <c r="D218" s="46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 t="s">
        <v>165</v>
      </c>
      <c r="B219" s="1"/>
      <c r="C219" s="41"/>
      <c r="D219" s="46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41"/>
      <c r="D220" s="46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41"/>
      <c r="D221" s="46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3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3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52:E52"/>
  </mergeCells>
  <conditionalFormatting sqref="B132">
    <cfRule type="cellIs" dxfId="0" priority="1" stopIfTrue="1" operator="between">
      <formula>$B$132</formula>
      <formula>$B$135</formula>
    </cfRule>
  </conditionalFormatting>
  <conditionalFormatting sqref="B135">
    <cfRule type="cellIs" dxfId="0" priority="2" stopIfTrue="1" operator="between">
      <formula>$B$135</formula>
      <formula>$B$137</formula>
    </cfRule>
  </conditionalFormatting>
  <conditionalFormatting sqref="B135">
    <cfRule type="cellIs" dxfId="1" priority="3" stopIfTrue="1" operator="greaterThan">
      <formula>$B$135</formula>
    </cfRule>
  </conditionalFormatting>
  <conditionalFormatting sqref="D49:D51 D53:D61">
    <cfRule type="expression" dxfId="2" priority="4" stopIfTrue="1">
      <formula>$C49&gt;0.00138888888888889</formula>
    </cfRule>
  </conditionalFormatting>
  <conditionalFormatting sqref="D49:D51 D53:D61">
    <cfRule type="expression" dxfId="3" priority="5" stopIfTrue="1">
      <formula>$C49&lt;0.00138888888888889</formula>
    </cfRule>
  </conditionalFormatting>
  <conditionalFormatting sqref="C175:C199">
    <cfRule type="cellIs" dxfId="4" priority="6" operator="lessThan">
      <formula>"80%"</formula>
    </cfRule>
  </conditionalFormatting>
  <dataValidations>
    <dataValidation type="list" allowBlank="1" showErrorMessage="1" sqref="C211">
      <formula1>"Not Contactable,Busy,Not reachable,Ringing,Switched off,Temp out of Service,Incorrect No,Others"</formula1>
    </dataValidation>
    <dataValidation type="list" allowBlank="1" showErrorMessage="1" sqref="B211">
      <formula1>"Contactable,Interested,Not Interested,Call Back,Refuse to Talk,Cust Not Avble,Wrong No,Others"</formula1>
    </dataValidation>
  </dataValidations>
  <printOptions/>
  <pageMargins bottom="1.0" footer="0.0" header="0.0" left="0.75" right="0.75" top="1.0"/>
  <pageSetup orientation="portrait"/>
  <headerFooter>
    <oddFooter>&amp;CSerco Internal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22.75"/>
    <col customWidth="1" min="2" max="3" width="9.0"/>
    <col customWidth="1" min="4" max="4" width="14.25"/>
    <col customWidth="1" min="5" max="5" width="7.13"/>
    <col customWidth="1" min="6" max="6" width="6.5"/>
    <col customWidth="1" min="7" max="7" width="8.5"/>
    <col customWidth="1" min="8" max="8" width="7.13"/>
    <col customWidth="1" min="9" max="9" width="11.13"/>
    <col customWidth="1" min="10" max="10" width="10.0"/>
    <col customWidth="1" min="11" max="11" width="12.5"/>
    <col customWidth="1" min="12" max="12" width="9.75"/>
    <col customWidth="1" min="13" max="13" width="10.13"/>
    <col customWidth="1" min="14" max="14" width="8.0"/>
    <col customWidth="1" min="15" max="15" width="10.5"/>
    <col customWidth="1" min="16" max="16" width="6.5"/>
    <col customWidth="1" min="17" max="26" width="9.13"/>
  </cols>
  <sheetData>
    <row r="1" ht="26.25" customHeight="1">
      <c r="A1" s="48" t="s">
        <v>166</v>
      </c>
      <c r="B1" s="48" t="s">
        <v>167</v>
      </c>
      <c r="C1" s="49" t="s">
        <v>168</v>
      </c>
      <c r="D1" s="48" t="s">
        <v>169</v>
      </c>
      <c r="E1" s="48" t="s">
        <v>170</v>
      </c>
      <c r="F1" s="48" t="s">
        <v>171</v>
      </c>
      <c r="G1" s="48" t="s">
        <v>172</v>
      </c>
      <c r="H1" s="50" t="s">
        <v>173</v>
      </c>
      <c r="I1" s="51" t="s">
        <v>174</v>
      </c>
      <c r="J1" s="51" t="s">
        <v>175</v>
      </c>
      <c r="K1" s="51" t="s">
        <v>176</v>
      </c>
      <c r="L1" s="48" t="s">
        <v>177</v>
      </c>
      <c r="M1" s="48" t="s">
        <v>178</v>
      </c>
      <c r="N1" s="52" t="s">
        <v>179</v>
      </c>
      <c r="O1" s="53" t="s">
        <v>68</v>
      </c>
      <c r="P1" s="52" t="s">
        <v>69</v>
      </c>
    </row>
    <row r="2" ht="12.75" customHeight="1">
      <c r="A2" s="54" t="s">
        <v>70</v>
      </c>
      <c r="B2" s="54" t="s">
        <v>180</v>
      </c>
      <c r="C2" s="55">
        <v>876388.0</v>
      </c>
      <c r="D2" s="55" t="s">
        <v>22</v>
      </c>
      <c r="E2" s="56" t="s">
        <v>181</v>
      </c>
      <c r="F2" s="57">
        <v>40280.0</v>
      </c>
      <c r="G2" s="56">
        <v>101.0</v>
      </c>
      <c r="H2" s="58">
        <v>0.00340068640532407</v>
      </c>
      <c r="I2" s="59">
        <v>0.0027662037037037</v>
      </c>
      <c r="J2" s="59">
        <v>0.0314699074074074</v>
      </c>
      <c r="K2" s="59">
        <v>0.310949074074074</v>
      </c>
      <c r="L2" s="56">
        <v>0.0</v>
      </c>
      <c r="M2" s="56">
        <v>4.0</v>
      </c>
      <c r="N2" s="60">
        <v>0.666666666666667</v>
      </c>
      <c r="O2" s="61">
        <v>1.02970297029703</v>
      </c>
      <c r="P2" s="60">
        <v>0.971153846153846</v>
      </c>
      <c r="Q2" s="62">
        <f>IFERROR(__xludf.DUMMYFUNCTION("UNIQUE(G2:G132)"),101.0)</f>
        <v>101</v>
      </c>
    </row>
    <row r="3" ht="12.75" customHeight="1">
      <c r="A3" s="54" t="s">
        <v>71</v>
      </c>
      <c r="B3" s="54" t="s">
        <v>180</v>
      </c>
      <c r="C3" s="55">
        <v>873019.0</v>
      </c>
      <c r="D3" s="55" t="s">
        <v>27</v>
      </c>
      <c r="E3" s="56" t="s">
        <v>182</v>
      </c>
      <c r="F3" s="57">
        <v>40280.0</v>
      </c>
      <c r="G3" s="56">
        <v>180.0</v>
      </c>
      <c r="H3" s="58">
        <v>0.00190470677834491</v>
      </c>
      <c r="I3" s="59">
        <v>5.78703703703704E-4</v>
      </c>
      <c r="J3" s="59">
        <v>0.0333680555555556</v>
      </c>
      <c r="K3" s="59">
        <v>0.4375</v>
      </c>
      <c r="L3" s="56">
        <v>4.0</v>
      </c>
      <c r="M3" s="56">
        <v>6.0</v>
      </c>
      <c r="N3" s="60">
        <v>1.0</v>
      </c>
      <c r="O3" s="61">
        <v>1.23333333333333</v>
      </c>
      <c r="P3" s="60">
        <v>0.977477477477477</v>
      </c>
      <c r="Q3" s="62">
        <f>IFERROR(__xludf.DUMMYFUNCTION("""COMPUTED_VALUE"""),180.0)</f>
        <v>180</v>
      </c>
    </row>
    <row r="4" ht="12.75" customHeight="1">
      <c r="A4" s="54" t="s">
        <v>72</v>
      </c>
      <c r="B4" s="54" t="s">
        <v>180</v>
      </c>
      <c r="C4" s="55">
        <v>876359.0</v>
      </c>
      <c r="D4" s="55" t="s">
        <v>19</v>
      </c>
      <c r="E4" s="56" t="s">
        <v>181</v>
      </c>
      <c r="F4" s="57">
        <v>40280.0</v>
      </c>
      <c r="G4" s="56">
        <v>318.0</v>
      </c>
      <c r="H4" s="58">
        <v>0.00105174847775093</v>
      </c>
      <c r="I4" s="59">
        <v>1.38888888888889E-4</v>
      </c>
      <c r="J4" s="59">
        <v>0.0457175925925926</v>
      </c>
      <c r="K4" s="59">
        <v>0.374895833333333</v>
      </c>
      <c r="L4" s="56">
        <v>2.0</v>
      </c>
      <c r="M4" s="56">
        <v>3.0</v>
      </c>
      <c r="N4" s="60">
        <v>1.0</v>
      </c>
      <c r="O4" s="61">
        <v>1.4811320754717</v>
      </c>
      <c r="P4" s="60">
        <v>0.995753715498938</v>
      </c>
      <c r="Q4" s="62">
        <f>IFERROR(__xludf.DUMMYFUNCTION("""COMPUTED_VALUE"""),318.0)</f>
        <v>318</v>
      </c>
    </row>
    <row r="5" ht="12.75" customHeight="1">
      <c r="A5" s="54" t="s">
        <v>73</v>
      </c>
      <c r="B5" s="54" t="s">
        <v>183</v>
      </c>
      <c r="C5" s="55">
        <v>873071.0</v>
      </c>
      <c r="D5" s="55" t="s">
        <v>32</v>
      </c>
      <c r="E5" s="56" t="s">
        <v>184</v>
      </c>
      <c r="F5" s="57">
        <v>40281.0</v>
      </c>
      <c r="G5" s="56">
        <v>164.0</v>
      </c>
      <c r="H5" s="58">
        <v>0.00231919041386574</v>
      </c>
      <c r="I5" s="59">
        <v>1.04166666666667E-4</v>
      </c>
      <c r="J5" s="59">
        <v>0.0216782407407407</v>
      </c>
      <c r="K5" s="59">
        <v>0.383553240740741</v>
      </c>
      <c r="L5" s="56">
        <v>2.0</v>
      </c>
      <c r="M5" s="56">
        <v>2.0</v>
      </c>
      <c r="N5" s="60">
        <v>1.0</v>
      </c>
      <c r="O5" s="61">
        <v>1.0</v>
      </c>
      <c r="P5" s="60">
        <v>0.975609756097561</v>
      </c>
      <c r="Q5" s="62">
        <f>IFERROR(__xludf.DUMMYFUNCTION("""COMPUTED_VALUE"""),164.0)</f>
        <v>164</v>
      </c>
    </row>
    <row r="6" ht="12.75" customHeight="1">
      <c r="A6" s="54" t="s">
        <v>74</v>
      </c>
      <c r="B6" s="54" t="s">
        <v>183</v>
      </c>
      <c r="C6" s="55">
        <v>873301.0</v>
      </c>
      <c r="D6" s="55" t="s">
        <v>22</v>
      </c>
      <c r="E6" s="56" t="s">
        <v>182</v>
      </c>
      <c r="F6" s="57">
        <v>40281.0</v>
      </c>
      <c r="G6" s="56">
        <v>171.0</v>
      </c>
      <c r="H6" s="58">
        <v>0.00203874614659213</v>
      </c>
      <c r="I6" s="59">
        <v>2.19907407407407E-4</v>
      </c>
      <c r="J6" s="59">
        <v>0.0308217592592593</v>
      </c>
      <c r="K6" s="59">
        <v>0.365300925925926</v>
      </c>
      <c r="L6" s="56">
        <v>4.0</v>
      </c>
      <c r="M6" s="56">
        <v>4.0</v>
      </c>
      <c r="N6" s="60">
        <v>0.666666666666667</v>
      </c>
      <c r="O6" s="61">
        <v>1.51461988304094</v>
      </c>
      <c r="P6" s="60">
        <v>0.961389961389961</v>
      </c>
      <c r="Q6" s="62">
        <f>IFERROR(__xludf.DUMMYFUNCTION("""COMPUTED_VALUE"""),171.0)</f>
        <v>171</v>
      </c>
    </row>
    <row r="7" ht="12.75" customHeight="1">
      <c r="A7" s="54" t="s">
        <v>75</v>
      </c>
      <c r="B7" s="54" t="s">
        <v>183</v>
      </c>
      <c r="C7" s="55">
        <v>873072.0</v>
      </c>
      <c r="D7" s="55" t="s">
        <v>32</v>
      </c>
      <c r="E7" s="56" t="s">
        <v>184</v>
      </c>
      <c r="F7" s="57">
        <v>40281.0</v>
      </c>
      <c r="G7" s="56">
        <v>249.0</v>
      </c>
      <c r="H7" s="58">
        <v>0.00139032982013889</v>
      </c>
      <c r="I7" s="59">
        <v>1.38888888888889E-4</v>
      </c>
      <c r="J7" s="59">
        <v>0.0308564814814815</v>
      </c>
      <c r="K7" s="59">
        <v>0.383009259259259</v>
      </c>
      <c r="L7" s="56">
        <v>2.0</v>
      </c>
      <c r="M7" s="56">
        <v>5.0</v>
      </c>
      <c r="N7" s="60">
        <v>0.75</v>
      </c>
      <c r="O7" s="61">
        <v>0.718875502008032</v>
      </c>
      <c r="P7" s="60">
        <v>0.927374301675978</v>
      </c>
      <c r="Q7" s="62">
        <f>IFERROR(__xludf.DUMMYFUNCTION("""COMPUTED_VALUE"""),249.0)</f>
        <v>249</v>
      </c>
    </row>
    <row r="8" ht="12.75" customHeight="1">
      <c r="A8" s="54" t="s">
        <v>4</v>
      </c>
      <c r="B8" s="54" t="s">
        <v>183</v>
      </c>
      <c r="C8" s="55">
        <v>876366.0</v>
      </c>
      <c r="D8" s="55" t="s">
        <v>29</v>
      </c>
      <c r="E8" s="56" t="s">
        <v>181</v>
      </c>
      <c r="F8" s="57">
        <v>40281.0</v>
      </c>
      <c r="G8" s="56">
        <v>169.0</v>
      </c>
      <c r="H8" s="58">
        <v>0.00213656943153241</v>
      </c>
      <c r="I8" s="59">
        <v>7.52314814814815E-4</v>
      </c>
      <c r="J8" s="59">
        <v>0.0307986111111111</v>
      </c>
      <c r="K8" s="59">
        <v>0.380810185185185</v>
      </c>
      <c r="L8" s="56">
        <v>3.0</v>
      </c>
      <c r="M8" s="56">
        <v>6.0</v>
      </c>
      <c r="N8" s="60">
        <v>1.0</v>
      </c>
      <c r="O8" s="61">
        <v>1.1301775147929</v>
      </c>
      <c r="P8" s="60">
        <v>0.979057591623037</v>
      </c>
      <c r="Q8" s="62">
        <f>IFERROR(__xludf.DUMMYFUNCTION("""COMPUTED_VALUE"""),169.0)</f>
        <v>169</v>
      </c>
    </row>
    <row r="9" ht="12.75" customHeight="1">
      <c r="A9" s="54" t="s">
        <v>76</v>
      </c>
      <c r="B9" s="54" t="s">
        <v>183</v>
      </c>
      <c r="C9" s="55">
        <v>873096.0</v>
      </c>
      <c r="D9" s="55" t="s">
        <v>32</v>
      </c>
      <c r="E9" s="56" t="s">
        <v>184</v>
      </c>
      <c r="F9" s="57">
        <v>40281.0</v>
      </c>
      <c r="G9" s="56">
        <v>314.0</v>
      </c>
      <c r="H9" s="58">
        <v>7.78485492423611E-4</v>
      </c>
      <c r="I9" s="59">
        <v>1.15740740740741E-4</v>
      </c>
      <c r="J9" s="59">
        <v>0.0392013888888889</v>
      </c>
      <c r="K9" s="59">
        <v>0.290509259259259</v>
      </c>
      <c r="L9" s="56">
        <v>3.0</v>
      </c>
      <c r="M9" s="56">
        <v>4.0</v>
      </c>
      <c r="N9" s="60">
        <v>1.0</v>
      </c>
      <c r="O9" s="61">
        <v>0.270700636942675</v>
      </c>
      <c r="P9" s="60">
        <v>1.0</v>
      </c>
      <c r="Q9" s="62">
        <f>IFERROR(__xludf.DUMMYFUNCTION("""COMPUTED_VALUE"""),314.0)</f>
        <v>314</v>
      </c>
    </row>
    <row r="10" ht="12.75" customHeight="1">
      <c r="A10" s="54" t="s">
        <v>77</v>
      </c>
      <c r="B10" s="54" t="s">
        <v>183</v>
      </c>
      <c r="C10" s="55">
        <v>876377.0</v>
      </c>
      <c r="D10" s="55" t="s">
        <v>19</v>
      </c>
      <c r="E10" s="56" t="s">
        <v>181</v>
      </c>
      <c r="F10" s="57">
        <v>40281.0</v>
      </c>
      <c r="G10" s="56">
        <v>141.0</v>
      </c>
      <c r="H10" s="58">
        <v>0.00180580186347384</v>
      </c>
      <c r="I10" s="59">
        <v>6.94444444444444E-5</v>
      </c>
      <c r="J10" s="59">
        <v>0.0234953703703704</v>
      </c>
      <c r="K10" s="59">
        <v>0.290821759259259</v>
      </c>
      <c r="L10" s="56">
        <v>3.0</v>
      </c>
      <c r="M10" s="56">
        <v>3.0</v>
      </c>
      <c r="N10" s="60">
        <v>1.0</v>
      </c>
      <c r="O10" s="61">
        <v>1.49645390070922</v>
      </c>
      <c r="P10" s="60">
        <v>0.990521327014218</v>
      </c>
      <c r="Q10" s="62">
        <f>IFERROR(__xludf.DUMMYFUNCTION("""COMPUTED_VALUE"""),141.0)</f>
        <v>141</v>
      </c>
    </row>
    <row r="11" ht="12.75" customHeight="1">
      <c r="A11" s="54" t="s">
        <v>78</v>
      </c>
      <c r="B11" s="54" t="s">
        <v>183</v>
      </c>
      <c r="C11" s="55">
        <v>876337.0</v>
      </c>
      <c r="D11" s="55" t="s">
        <v>19</v>
      </c>
      <c r="E11" s="56" t="s">
        <v>184</v>
      </c>
      <c r="F11" s="57">
        <v>40281.0</v>
      </c>
      <c r="G11" s="56">
        <v>190.0</v>
      </c>
      <c r="H11" s="58">
        <v>0.00175322850545139</v>
      </c>
      <c r="I11" s="59">
        <v>7.87037037037037E-4</v>
      </c>
      <c r="J11" s="59">
        <v>0.034224537037037</v>
      </c>
      <c r="K11" s="59">
        <v>0.374178240740741</v>
      </c>
      <c r="L11" s="56">
        <v>3.0</v>
      </c>
      <c r="M11" s="56">
        <v>4.0</v>
      </c>
      <c r="N11" s="60">
        <v>1.0</v>
      </c>
      <c r="O11" s="61">
        <v>0.873684210526316</v>
      </c>
      <c r="P11" s="60">
        <v>0.957831325301205</v>
      </c>
      <c r="Q11" s="62">
        <f>IFERROR(__xludf.DUMMYFUNCTION("""COMPUTED_VALUE"""),190.0)</f>
        <v>190</v>
      </c>
    </row>
    <row r="12" ht="12.75" customHeight="1">
      <c r="A12" s="54" t="s">
        <v>78</v>
      </c>
      <c r="B12" s="54" t="s">
        <v>183</v>
      </c>
      <c r="C12" s="55">
        <v>876337.0</v>
      </c>
      <c r="D12" s="55" t="s">
        <v>19</v>
      </c>
      <c r="E12" s="56" t="s">
        <v>181</v>
      </c>
      <c r="F12" s="57">
        <v>40280.0</v>
      </c>
      <c r="G12" s="56">
        <v>165.0</v>
      </c>
      <c r="H12" s="58">
        <v>0.00164856910706019</v>
      </c>
      <c r="I12" s="59">
        <v>8.10185185185185E-5</v>
      </c>
      <c r="J12" s="59">
        <v>0.0309490740740741</v>
      </c>
      <c r="K12" s="59">
        <v>0.37349537037037</v>
      </c>
      <c r="L12" s="56">
        <v>2.0</v>
      </c>
      <c r="M12" s="56">
        <v>2.0</v>
      </c>
      <c r="N12" s="60">
        <v>1.0</v>
      </c>
      <c r="O12" s="61">
        <v>1.00606060606061</v>
      </c>
      <c r="P12" s="60">
        <v>0.957831325301205</v>
      </c>
      <c r="Q12" s="62">
        <f>IFERROR(__xludf.DUMMYFUNCTION("""COMPUTED_VALUE"""),165.0)</f>
        <v>165</v>
      </c>
    </row>
    <row r="13" ht="12.75" customHeight="1">
      <c r="A13" s="54" t="s">
        <v>100</v>
      </c>
      <c r="B13" s="54" t="s">
        <v>183</v>
      </c>
      <c r="C13" s="55">
        <v>873041.0</v>
      </c>
      <c r="D13" s="55" t="s">
        <v>22</v>
      </c>
      <c r="E13" s="56" t="s">
        <v>184</v>
      </c>
      <c r="F13" s="57">
        <v>40280.0</v>
      </c>
      <c r="G13" s="56">
        <v>80.0</v>
      </c>
      <c r="H13" s="58">
        <v>0.00132016782407407</v>
      </c>
      <c r="I13" s="59">
        <v>0.0</v>
      </c>
      <c r="J13" s="59">
        <v>0.0247106481481481</v>
      </c>
      <c r="K13" s="59">
        <v>0.364375</v>
      </c>
      <c r="L13" s="56">
        <v>0.0</v>
      </c>
      <c r="M13" s="56">
        <v>0.0</v>
      </c>
      <c r="N13" s="60"/>
      <c r="O13" s="61">
        <v>1.0375</v>
      </c>
      <c r="P13" s="60">
        <v>1.0</v>
      </c>
      <c r="Q13" s="62">
        <f>IFERROR(__xludf.DUMMYFUNCTION("""COMPUTED_VALUE"""),80.0)</f>
        <v>80</v>
      </c>
    </row>
    <row r="14" ht="12.75" customHeight="1">
      <c r="A14" s="54" t="s">
        <v>99</v>
      </c>
      <c r="B14" s="54" t="s">
        <v>183</v>
      </c>
      <c r="C14" s="55">
        <v>876350.0</v>
      </c>
      <c r="D14" s="55" t="s">
        <v>29</v>
      </c>
      <c r="E14" s="56" t="s">
        <v>181</v>
      </c>
      <c r="F14" s="57">
        <v>40280.0</v>
      </c>
      <c r="G14" s="56">
        <v>198.0</v>
      </c>
      <c r="H14" s="58">
        <v>0.00222007395750981</v>
      </c>
      <c r="I14" s="59">
        <v>0.0213310185185185</v>
      </c>
      <c r="J14" s="59">
        <v>0.0299537037037037</v>
      </c>
      <c r="K14" s="59">
        <v>0.373101851851852</v>
      </c>
      <c r="L14" s="56">
        <v>1.0</v>
      </c>
      <c r="M14" s="56">
        <v>8.0</v>
      </c>
      <c r="N14" s="60">
        <v>1.0</v>
      </c>
      <c r="O14" s="61">
        <v>1.05050505050505</v>
      </c>
      <c r="P14" s="60">
        <v>0.961538461538462</v>
      </c>
      <c r="Q14" s="62">
        <f>IFERROR(__xludf.DUMMYFUNCTION("""COMPUTED_VALUE"""),198.0)</f>
        <v>198</v>
      </c>
    </row>
    <row r="15" ht="12.75" customHeight="1">
      <c r="A15" s="54" t="s">
        <v>101</v>
      </c>
      <c r="B15" s="54" t="s">
        <v>180</v>
      </c>
      <c r="C15" s="55">
        <v>876385.0</v>
      </c>
      <c r="D15" s="55" t="s">
        <v>22</v>
      </c>
      <c r="E15" s="56" t="s">
        <v>181</v>
      </c>
      <c r="F15" s="57">
        <v>40280.0</v>
      </c>
      <c r="G15" s="56">
        <v>126.0</v>
      </c>
      <c r="H15" s="58">
        <v>0.00300626463359838</v>
      </c>
      <c r="I15" s="59">
        <v>0.00478009259259259</v>
      </c>
      <c r="J15" s="59">
        <v>0.0376157407407407</v>
      </c>
      <c r="K15" s="59">
        <v>0.308263888888889</v>
      </c>
      <c r="L15" s="56">
        <v>0.0</v>
      </c>
      <c r="M15" s="56">
        <v>5.0</v>
      </c>
      <c r="N15" s="60">
        <v>1.0</v>
      </c>
      <c r="O15" s="61">
        <v>0.793650793650794</v>
      </c>
      <c r="P15" s="60">
        <v>0.9</v>
      </c>
      <c r="Q15" s="62">
        <f>IFERROR(__xludf.DUMMYFUNCTION("""COMPUTED_VALUE"""),126.0)</f>
        <v>126</v>
      </c>
    </row>
    <row r="16" ht="12.75" customHeight="1">
      <c r="A16" s="54" t="s">
        <v>185</v>
      </c>
      <c r="B16" s="54" t="s">
        <v>180</v>
      </c>
      <c r="C16" s="55">
        <v>873104.0</v>
      </c>
      <c r="D16" s="55" t="s">
        <v>22</v>
      </c>
      <c r="E16" s="56" t="s">
        <v>184</v>
      </c>
      <c r="F16" s="57">
        <v>40280.0</v>
      </c>
      <c r="G16" s="56">
        <v>193.0</v>
      </c>
      <c r="H16" s="58">
        <v>0.00207474686481713</v>
      </c>
      <c r="I16" s="59">
        <v>0.00547453703703704</v>
      </c>
      <c r="J16" s="59">
        <v>0.0313310185185185</v>
      </c>
      <c r="K16" s="59">
        <v>0.380277777777778</v>
      </c>
      <c r="L16" s="56">
        <v>3.0</v>
      </c>
      <c r="M16" s="56">
        <v>11.0</v>
      </c>
      <c r="N16" s="60">
        <v>1.0</v>
      </c>
      <c r="O16" s="61">
        <v>1.23316062176166</v>
      </c>
      <c r="P16" s="60">
        <v>0.970588235294118</v>
      </c>
      <c r="Q16" s="62">
        <f>IFERROR(__xludf.DUMMYFUNCTION("""COMPUTED_VALUE"""),193.0)</f>
        <v>193</v>
      </c>
    </row>
    <row r="17" ht="12.75" customHeight="1">
      <c r="A17" s="54" t="s">
        <v>186</v>
      </c>
      <c r="B17" s="54" t="s">
        <v>180</v>
      </c>
      <c r="C17" s="55">
        <v>876277.0</v>
      </c>
      <c r="D17" s="55" t="s">
        <v>28</v>
      </c>
      <c r="E17" s="56" t="s">
        <v>181</v>
      </c>
      <c r="F17" s="57">
        <v>40280.0</v>
      </c>
      <c r="G17" s="56">
        <v>11.0</v>
      </c>
      <c r="H17" s="58">
        <v>0.00210332499609954</v>
      </c>
      <c r="I17" s="59">
        <v>3.81944444444444E-4</v>
      </c>
      <c r="J17" s="59">
        <v>0.00563657407407407</v>
      </c>
      <c r="K17" s="59">
        <v>0.0869675925925926</v>
      </c>
      <c r="L17" s="56">
        <v>1.0</v>
      </c>
      <c r="M17" s="56">
        <v>1.0</v>
      </c>
      <c r="N17" s="60"/>
      <c r="O17" s="61">
        <v>1.09090909090909</v>
      </c>
      <c r="P17" s="60">
        <v>1.0</v>
      </c>
      <c r="Q17" s="62">
        <f>IFERROR(__xludf.DUMMYFUNCTION("""COMPUTED_VALUE"""),11.0)</f>
        <v>11</v>
      </c>
    </row>
    <row r="18" ht="12.75" customHeight="1">
      <c r="A18" s="54" t="s">
        <v>187</v>
      </c>
      <c r="B18" s="54" t="s">
        <v>183</v>
      </c>
      <c r="C18" s="55">
        <v>876327.0</v>
      </c>
      <c r="D18" s="55" t="s">
        <v>31</v>
      </c>
      <c r="E18" s="56" t="s">
        <v>181</v>
      </c>
      <c r="F18" s="57">
        <v>40280.0</v>
      </c>
      <c r="G18" s="56">
        <v>77.0</v>
      </c>
      <c r="H18" s="58">
        <v>0.00145863391734954</v>
      </c>
      <c r="I18" s="59">
        <v>2.31481481481481E-5</v>
      </c>
      <c r="J18" s="59">
        <v>0.0304166666666667</v>
      </c>
      <c r="K18" s="59">
        <v>0.3609375</v>
      </c>
      <c r="L18" s="56">
        <v>0.0</v>
      </c>
      <c r="M18" s="56">
        <v>0.0</v>
      </c>
      <c r="N18" s="60"/>
      <c r="O18" s="61">
        <v>1.12987012987013</v>
      </c>
      <c r="P18" s="60">
        <v>1.0</v>
      </c>
      <c r="Q18" s="62">
        <f>IFERROR(__xludf.DUMMYFUNCTION("""COMPUTED_VALUE"""),77.0)</f>
        <v>77</v>
      </c>
    </row>
    <row r="19" ht="12.75" customHeight="1">
      <c r="A19" s="54" t="s">
        <v>188</v>
      </c>
      <c r="B19" s="54" t="s">
        <v>183</v>
      </c>
      <c r="C19" s="55">
        <v>873235.0</v>
      </c>
      <c r="D19" s="55" t="s">
        <v>20</v>
      </c>
      <c r="E19" s="56" t="s">
        <v>184</v>
      </c>
      <c r="F19" s="57">
        <v>40280.0</v>
      </c>
      <c r="G19" s="56">
        <v>184.0</v>
      </c>
      <c r="H19" s="58">
        <v>0.00191167213298611</v>
      </c>
      <c r="I19" s="59">
        <v>0.00232638888888889</v>
      </c>
      <c r="J19" s="59">
        <v>0.0344560185185185</v>
      </c>
      <c r="K19" s="59">
        <v>0.369467592592593</v>
      </c>
      <c r="L19" s="56">
        <v>4.0</v>
      </c>
      <c r="M19" s="56">
        <v>11.0</v>
      </c>
      <c r="N19" s="60">
        <v>1.0</v>
      </c>
      <c r="O19" s="61">
        <v>1.08695652173913</v>
      </c>
      <c r="P19" s="60">
        <v>0.985</v>
      </c>
      <c r="Q19" s="62">
        <f>IFERROR(__xludf.DUMMYFUNCTION("""COMPUTED_VALUE"""),184.0)</f>
        <v>184</v>
      </c>
    </row>
    <row r="20" ht="12.75" customHeight="1">
      <c r="A20" s="54" t="s">
        <v>189</v>
      </c>
      <c r="B20" s="54" t="s">
        <v>183</v>
      </c>
      <c r="C20" s="55">
        <v>873119.0</v>
      </c>
      <c r="D20" s="55" t="s">
        <v>22</v>
      </c>
      <c r="E20" s="56" t="s">
        <v>184</v>
      </c>
      <c r="F20" s="57">
        <v>40280.0</v>
      </c>
      <c r="G20" s="56">
        <v>54.0</v>
      </c>
      <c r="H20" s="58">
        <v>0.00275098588731481</v>
      </c>
      <c r="I20" s="59">
        <v>9.83796296296296E-4</v>
      </c>
      <c r="J20" s="59">
        <v>0.0313773148148148</v>
      </c>
      <c r="K20" s="59">
        <v>0.313703703703704</v>
      </c>
      <c r="L20" s="56">
        <v>0.0</v>
      </c>
      <c r="M20" s="56">
        <v>1.0</v>
      </c>
      <c r="N20" s="60"/>
      <c r="O20" s="61">
        <v>0.907407407407407</v>
      </c>
      <c r="P20" s="60">
        <v>0.979591836734694</v>
      </c>
      <c r="Q20" s="62">
        <f>IFERROR(__xludf.DUMMYFUNCTION("""COMPUTED_VALUE"""),54.0)</f>
        <v>54</v>
      </c>
    </row>
    <row r="21" ht="12.75" customHeight="1">
      <c r="A21" s="54" t="s">
        <v>190</v>
      </c>
      <c r="B21" s="54" t="s">
        <v>183</v>
      </c>
      <c r="C21" s="55">
        <v>873080.0</v>
      </c>
      <c r="D21" s="55" t="s">
        <v>31</v>
      </c>
      <c r="E21" s="56" t="s">
        <v>184</v>
      </c>
      <c r="F21" s="57">
        <v>40280.0</v>
      </c>
      <c r="G21" s="56">
        <v>201.0</v>
      </c>
      <c r="H21" s="58">
        <v>0.0021013710233912</v>
      </c>
      <c r="I21" s="59">
        <v>0.00118055555555556</v>
      </c>
      <c r="J21" s="59">
        <v>0.0309953703703704</v>
      </c>
      <c r="K21" s="59">
        <v>0.376736111111111</v>
      </c>
      <c r="L21" s="56">
        <v>3.0</v>
      </c>
      <c r="M21" s="56">
        <v>4.0</v>
      </c>
      <c r="N21" s="60">
        <v>0.833333333333333</v>
      </c>
      <c r="O21" s="61">
        <v>0.786069651741294</v>
      </c>
      <c r="P21" s="60">
        <v>0.993670886075949</v>
      </c>
      <c r="Q21" s="62">
        <f>IFERROR(__xludf.DUMMYFUNCTION("""COMPUTED_VALUE"""),201.0)</f>
        <v>201</v>
      </c>
    </row>
    <row r="22" ht="12.75" customHeight="1">
      <c r="A22" s="54" t="s">
        <v>88</v>
      </c>
      <c r="B22" s="54" t="s">
        <v>183</v>
      </c>
      <c r="C22" s="55">
        <v>876396.0</v>
      </c>
      <c r="D22" s="55" t="s">
        <v>19</v>
      </c>
      <c r="E22" s="56" t="s">
        <v>181</v>
      </c>
      <c r="F22" s="57">
        <v>40280.0</v>
      </c>
      <c r="G22" s="56">
        <v>145.0</v>
      </c>
      <c r="H22" s="58">
        <v>0.00211773625126157</v>
      </c>
      <c r="I22" s="59">
        <v>7.63888888888889E-4</v>
      </c>
      <c r="J22" s="59">
        <v>0.0658217592592593</v>
      </c>
      <c r="K22" s="59">
        <v>0.362488425925926</v>
      </c>
      <c r="L22" s="56">
        <v>3.0</v>
      </c>
      <c r="M22" s="56">
        <v>4.0</v>
      </c>
      <c r="N22" s="60">
        <v>0.5</v>
      </c>
      <c r="O22" s="61">
        <v>0.83448275862069</v>
      </c>
      <c r="P22" s="60">
        <v>1.0</v>
      </c>
      <c r="Q22" s="62">
        <f>IFERROR(__xludf.DUMMYFUNCTION("""COMPUTED_VALUE"""),145.0)</f>
        <v>145</v>
      </c>
    </row>
    <row r="23" ht="12.75" customHeight="1">
      <c r="A23" s="54" t="s">
        <v>89</v>
      </c>
      <c r="B23" s="54" t="s">
        <v>183</v>
      </c>
      <c r="C23" s="55">
        <v>876335.0</v>
      </c>
      <c r="D23" s="55" t="s">
        <v>19</v>
      </c>
      <c r="E23" s="56" t="s">
        <v>181</v>
      </c>
      <c r="F23" s="57">
        <v>40280.0</v>
      </c>
      <c r="G23" s="56">
        <v>219.0</v>
      </c>
      <c r="H23" s="58">
        <v>0.00114720744943218</v>
      </c>
      <c r="I23" s="59">
        <v>1.04166666666667E-4</v>
      </c>
      <c r="J23" s="59">
        <v>0.031875</v>
      </c>
      <c r="K23" s="59">
        <v>0.3621875</v>
      </c>
      <c r="L23" s="56">
        <v>2.0</v>
      </c>
      <c r="M23" s="56">
        <v>3.0</v>
      </c>
      <c r="N23" s="60">
        <v>1.0</v>
      </c>
      <c r="O23" s="61">
        <v>1.22374429223744</v>
      </c>
      <c r="P23" s="60">
        <v>0.98134328358209</v>
      </c>
      <c r="Q23" s="62">
        <f>IFERROR(__xludf.DUMMYFUNCTION("""COMPUTED_VALUE"""),219.0)</f>
        <v>219</v>
      </c>
    </row>
    <row r="24" ht="12.75" customHeight="1">
      <c r="A24" s="54" t="s">
        <v>10</v>
      </c>
      <c r="B24" s="54" t="s">
        <v>183</v>
      </c>
      <c r="C24" s="55">
        <v>873222.0</v>
      </c>
      <c r="D24" s="55" t="s">
        <v>23</v>
      </c>
      <c r="E24" s="56" t="s">
        <v>184</v>
      </c>
      <c r="F24" s="57">
        <v>40280.0</v>
      </c>
      <c r="G24" s="56">
        <v>214.0</v>
      </c>
      <c r="H24" s="58">
        <v>0.00157853066368785</v>
      </c>
      <c r="I24" s="59">
        <v>8.68055555555556E-4</v>
      </c>
      <c r="J24" s="59">
        <v>0.0300694444444444</v>
      </c>
      <c r="K24" s="59">
        <v>0.378668981481481</v>
      </c>
      <c r="L24" s="56">
        <v>3.0</v>
      </c>
      <c r="M24" s="56">
        <v>10.0</v>
      </c>
      <c r="N24" s="60">
        <v>0.857142857142857</v>
      </c>
      <c r="O24" s="61">
        <v>1.35981308411215</v>
      </c>
      <c r="P24" s="60">
        <v>0.948453608247423</v>
      </c>
      <c r="Q24" s="62">
        <f>IFERROR(__xludf.DUMMYFUNCTION("""COMPUTED_VALUE"""),214.0)</f>
        <v>214</v>
      </c>
    </row>
    <row r="25" ht="12.75" customHeight="1">
      <c r="A25" s="54" t="s">
        <v>12</v>
      </c>
      <c r="B25" s="54" t="s">
        <v>183</v>
      </c>
      <c r="C25" s="55">
        <v>873095.0</v>
      </c>
      <c r="D25" s="55" t="s">
        <v>22</v>
      </c>
      <c r="E25" s="56" t="s">
        <v>184</v>
      </c>
      <c r="F25" s="57">
        <v>40280.0</v>
      </c>
      <c r="G25" s="56">
        <v>179.0</v>
      </c>
      <c r="H25" s="58">
        <v>0.00190127331625162</v>
      </c>
      <c r="I25" s="59">
        <v>1.04166666666667E-4</v>
      </c>
      <c r="J25" s="59">
        <v>0.0359143518518519</v>
      </c>
      <c r="K25" s="59">
        <v>0.377546296296296</v>
      </c>
      <c r="L25" s="56">
        <v>2.0</v>
      </c>
      <c r="M25" s="56">
        <v>3.0</v>
      </c>
      <c r="N25" s="60">
        <v>0.8</v>
      </c>
      <c r="O25" s="61">
        <v>0.675977653631285</v>
      </c>
      <c r="P25" s="60">
        <v>0.925619834710744</v>
      </c>
      <c r="Q25" s="62">
        <f>IFERROR(__xludf.DUMMYFUNCTION("""COMPUTED_VALUE"""),179.0)</f>
        <v>179</v>
      </c>
    </row>
    <row r="26" ht="12.75" customHeight="1">
      <c r="A26" s="54" t="s">
        <v>191</v>
      </c>
      <c r="B26" s="54" t="s">
        <v>180</v>
      </c>
      <c r="C26" s="55">
        <v>873100.0</v>
      </c>
      <c r="D26" s="55" t="s">
        <v>32</v>
      </c>
      <c r="E26" s="56" t="s">
        <v>184</v>
      </c>
      <c r="F26" s="57">
        <v>40280.0</v>
      </c>
      <c r="G26" s="56">
        <v>255.0</v>
      </c>
      <c r="H26" s="58">
        <v>0.00136077068469907</v>
      </c>
      <c r="I26" s="59">
        <v>8.10185185185185E-5</v>
      </c>
      <c r="J26" s="59">
        <v>0.0291203703703704</v>
      </c>
      <c r="K26" s="59">
        <v>0.380104166666667</v>
      </c>
      <c r="L26" s="56">
        <v>2.0</v>
      </c>
      <c r="M26" s="56">
        <v>2.0</v>
      </c>
      <c r="N26" s="60">
        <v>1.0</v>
      </c>
      <c r="O26" s="61">
        <v>1.09411764705882</v>
      </c>
      <c r="P26" s="60">
        <v>0.967741935483871</v>
      </c>
      <c r="Q26" s="62">
        <f>IFERROR(__xludf.DUMMYFUNCTION("""COMPUTED_VALUE"""),255.0)</f>
        <v>255</v>
      </c>
    </row>
    <row r="27" ht="12.75" customHeight="1">
      <c r="A27" s="54" t="s">
        <v>192</v>
      </c>
      <c r="B27" s="54" t="s">
        <v>180</v>
      </c>
      <c r="C27" s="55">
        <v>873292.0</v>
      </c>
      <c r="D27" s="55" t="s">
        <v>21</v>
      </c>
      <c r="E27" s="56" t="s">
        <v>193</v>
      </c>
      <c r="F27" s="57">
        <v>40280.0</v>
      </c>
      <c r="G27" s="56">
        <v>120.0</v>
      </c>
      <c r="H27" s="58">
        <v>0.00334062850034144</v>
      </c>
      <c r="I27" s="59">
        <v>0.0169444444444444</v>
      </c>
      <c r="J27" s="59">
        <v>0.0292708333333333</v>
      </c>
      <c r="K27" s="59">
        <v>0.356979166666667</v>
      </c>
      <c r="L27" s="56">
        <v>1.0</v>
      </c>
      <c r="M27" s="56">
        <v>22.0</v>
      </c>
      <c r="N27" s="60">
        <v>0.636363636363636</v>
      </c>
      <c r="O27" s="61">
        <v>1.3</v>
      </c>
      <c r="P27" s="60">
        <v>0.993589743589744</v>
      </c>
      <c r="Q27" s="62">
        <f>IFERROR(__xludf.DUMMYFUNCTION("""COMPUTED_VALUE"""),120.0)</f>
        <v>120</v>
      </c>
    </row>
    <row r="28" ht="12.75" customHeight="1">
      <c r="A28" s="54" t="s">
        <v>194</v>
      </c>
      <c r="B28" s="54" t="s">
        <v>180</v>
      </c>
      <c r="C28" s="55">
        <v>873058.0</v>
      </c>
      <c r="D28" s="55" t="s">
        <v>29</v>
      </c>
      <c r="E28" s="56" t="s">
        <v>184</v>
      </c>
      <c r="F28" s="57">
        <v>40280.0</v>
      </c>
      <c r="G28" s="56">
        <v>200.0</v>
      </c>
      <c r="H28" s="58">
        <v>0.0016912036471875</v>
      </c>
      <c r="I28" s="59">
        <v>8.10185185185185E-5</v>
      </c>
      <c r="J28" s="59">
        <v>0.0315046296296296</v>
      </c>
      <c r="K28" s="59">
        <v>0.381967592592593</v>
      </c>
      <c r="L28" s="56">
        <v>2.0</v>
      </c>
      <c r="M28" s="56">
        <v>2.0</v>
      </c>
      <c r="N28" s="60">
        <v>0.666666666666667</v>
      </c>
      <c r="O28" s="61">
        <v>1.01</v>
      </c>
      <c r="P28" s="60">
        <v>1.0</v>
      </c>
      <c r="Q28" s="62">
        <f>IFERROR(__xludf.DUMMYFUNCTION("""COMPUTED_VALUE"""),200.0)</f>
        <v>200</v>
      </c>
    </row>
    <row r="29" ht="12.75" customHeight="1">
      <c r="A29" s="54" t="s">
        <v>195</v>
      </c>
      <c r="B29" s="54" t="s">
        <v>180</v>
      </c>
      <c r="C29" s="55">
        <v>873240.0</v>
      </c>
      <c r="D29" s="55" t="s">
        <v>30</v>
      </c>
      <c r="E29" s="56" t="s">
        <v>184</v>
      </c>
      <c r="F29" s="57">
        <v>40280.0</v>
      </c>
      <c r="G29" s="56">
        <v>28.0</v>
      </c>
      <c r="H29" s="58">
        <v>0.00315972222222222</v>
      </c>
      <c r="I29" s="59">
        <v>0.0</v>
      </c>
      <c r="J29" s="59">
        <v>0.0129166666666667</v>
      </c>
      <c r="K29" s="59">
        <v>0.109456018518519</v>
      </c>
      <c r="L29" s="56">
        <v>0.0</v>
      </c>
      <c r="M29" s="56">
        <v>0.0</v>
      </c>
      <c r="N29" s="60"/>
      <c r="O29" s="61">
        <v>1.46428571428571</v>
      </c>
      <c r="P29" s="60">
        <v>0.902439024390244</v>
      </c>
      <c r="Q29" s="62">
        <f>IFERROR(__xludf.DUMMYFUNCTION("""COMPUTED_VALUE"""),28.0)</f>
        <v>28</v>
      </c>
    </row>
    <row r="30" ht="12.75" customHeight="1">
      <c r="A30" s="54" t="s">
        <v>196</v>
      </c>
      <c r="B30" s="54" t="s">
        <v>180</v>
      </c>
      <c r="C30" s="55">
        <v>873239.0</v>
      </c>
      <c r="D30" s="55" t="s">
        <v>20</v>
      </c>
      <c r="E30" s="56" t="s">
        <v>184</v>
      </c>
      <c r="F30" s="57">
        <v>40281.0</v>
      </c>
      <c r="G30" s="56">
        <v>165.0</v>
      </c>
      <c r="H30" s="58">
        <v>0.00263446966806713</v>
      </c>
      <c r="I30" s="59">
        <v>1.96759259259259E-4</v>
      </c>
      <c r="J30" s="59">
        <v>0.0346643518518519</v>
      </c>
      <c r="K30" s="59">
        <v>0.3865625</v>
      </c>
      <c r="L30" s="56">
        <v>1.0</v>
      </c>
      <c r="M30" s="56">
        <v>2.0</v>
      </c>
      <c r="N30" s="60">
        <v>0.75</v>
      </c>
      <c r="O30" s="61">
        <v>1.13939393939394</v>
      </c>
      <c r="P30" s="60">
        <v>0.99468085106383</v>
      </c>
      <c r="Q30" s="62">
        <f>IFERROR(__xludf.DUMMYFUNCTION("""COMPUTED_VALUE"""),70.0)</f>
        <v>70</v>
      </c>
    </row>
    <row r="31" ht="12.75" customHeight="1">
      <c r="A31" s="54" t="s">
        <v>197</v>
      </c>
      <c r="B31" s="54" t="s">
        <v>183</v>
      </c>
      <c r="C31" s="55">
        <v>876090.0</v>
      </c>
      <c r="D31" s="55" t="s">
        <v>20</v>
      </c>
      <c r="E31" s="56" t="s">
        <v>182</v>
      </c>
      <c r="F31" s="57">
        <v>40281.0</v>
      </c>
      <c r="G31" s="56">
        <v>70.0</v>
      </c>
      <c r="H31" s="58">
        <v>0.00210912696327002</v>
      </c>
      <c r="I31" s="59">
        <v>0.00168981481481481</v>
      </c>
      <c r="J31" s="59">
        <v>0.0191319444444444</v>
      </c>
      <c r="K31" s="59">
        <v>0.14875</v>
      </c>
      <c r="L31" s="56">
        <v>0.0</v>
      </c>
      <c r="M31" s="56">
        <v>2.0</v>
      </c>
      <c r="N31" s="60"/>
      <c r="O31" s="61">
        <v>1.0</v>
      </c>
      <c r="P31" s="60">
        <v>1.0</v>
      </c>
      <c r="Q31" s="62">
        <f>IFERROR(__xludf.DUMMYFUNCTION("""COMPUTED_VALUE"""),223.0)</f>
        <v>223</v>
      </c>
    </row>
    <row r="32" ht="12.75" customHeight="1">
      <c r="A32" s="54" t="s">
        <v>198</v>
      </c>
      <c r="B32" s="54" t="s">
        <v>183</v>
      </c>
      <c r="C32" s="55">
        <v>876339.0</v>
      </c>
      <c r="D32" s="55" t="s">
        <v>199</v>
      </c>
      <c r="E32" s="56" t="s">
        <v>181</v>
      </c>
      <c r="F32" s="57">
        <v>40281.0</v>
      </c>
      <c r="G32" s="56">
        <v>223.0</v>
      </c>
      <c r="H32" s="58">
        <v>0.00163509103987269</v>
      </c>
      <c r="I32" s="59">
        <v>8.68055555555556E-4</v>
      </c>
      <c r="J32" s="59">
        <v>0.00804398148148148</v>
      </c>
      <c r="K32" s="59">
        <v>0.360625</v>
      </c>
      <c r="L32" s="56">
        <v>0.0</v>
      </c>
      <c r="M32" s="56">
        <v>8.0</v>
      </c>
      <c r="N32" s="60">
        <v>1.0</v>
      </c>
      <c r="O32" s="61">
        <v>0.600896860986547</v>
      </c>
      <c r="P32" s="60">
        <v>0.992537313432836</v>
      </c>
      <c r="Q32" s="62">
        <f>IFERROR(__xludf.DUMMYFUNCTION("""COMPUTED_VALUE"""),151.0)</f>
        <v>151</v>
      </c>
    </row>
    <row r="33" ht="12.75" customHeight="1">
      <c r="A33" s="54" t="s">
        <v>200</v>
      </c>
      <c r="B33" s="54" t="s">
        <v>183</v>
      </c>
      <c r="C33" s="55">
        <v>873218.0</v>
      </c>
      <c r="D33" s="55" t="s">
        <v>23</v>
      </c>
      <c r="E33" s="56" t="s">
        <v>184</v>
      </c>
      <c r="F33" s="57">
        <v>40281.0</v>
      </c>
      <c r="G33" s="56">
        <v>151.0</v>
      </c>
      <c r="H33" s="58">
        <v>0.00230543070369097</v>
      </c>
      <c r="I33" s="59">
        <v>0.00244212962962963</v>
      </c>
      <c r="J33" s="59">
        <v>0.0300578703703704</v>
      </c>
      <c r="K33" s="59">
        <v>0.367627314814815</v>
      </c>
      <c r="L33" s="56">
        <v>4.0</v>
      </c>
      <c r="M33" s="56">
        <v>7.0</v>
      </c>
      <c r="N33" s="60">
        <v>1.0</v>
      </c>
      <c r="O33" s="61">
        <v>1.98675496688742</v>
      </c>
      <c r="P33" s="60">
        <v>0.966666666666667</v>
      </c>
      <c r="Q33" s="62">
        <f>IFERROR(__xludf.DUMMYFUNCTION("""COMPUTED_VALUE"""),29.0)</f>
        <v>29</v>
      </c>
    </row>
    <row r="34" ht="12.75" customHeight="1">
      <c r="A34" s="54" t="s">
        <v>201</v>
      </c>
      <c r="B34" s="54" t="s">
        <v>180</v>
      </c>
      <c r="C34" s="55">
        <v>873112.0</v>
      </c>
      <c r="D34" s="55" t="s">
        <v>21</v>
      </c>
      <c r="E34" s="56" t="s">
        <v>184</v>
      </c>
      <c r="F34" s="57">
        <v>40281.0</v>
      </c>
      <c r="G34" s="56">
        <v>201.0</v>
      </c>
      <c r="H34" s="58">
        <v>0.00160015895410417</v>
      </c>
      <c r="I34" s="59">
        <v>4.16666666666667E-4</v>
      </c>
      <c r="J34" s="59">
        <v>0.0273263888888889</v>
      </c>
      <c r="K34" s="59">
        <v>0.358078703703704</v>
      </c>
      <c r="L34" s="56">
        <v>2.0</v>
      </c>
      <c r="M34" s="56">
        <v>3.0</v>
      </c>
      <c r="N34" s="60">
        <v>0.75</v>
      </c>
      <c r="O34" s="61">
        <v>0.621890547263682</v>
      </c>
      <c r="P34" s="60">
        <v>0.96</v>
      </c>
      <c r="Q34" s="62">
        <f>IFERROR(__xludf.DUMMYFUNCTION("""COMPUTED_VALUE"""),185.0)</f>
        <v>185</v>
      </c>
    </row>
    <row r="35" ht="12.75" customHeight="1">
      <c r="A35" s="54" t="s">
        <v>202</v>
      </c>
      <c r="B35" s="54" t="s">
        <v>180</v>
      </c>
      <c r="C35" s="55">
        <v>876430.0</v>
      </c>
      <c r="D35" s="55" t="s">
        <v>28</v>
      </c>
      <c r="E35" s="56" t="s">
        <v>203</v>
      </c>
      <c r="F35" s="57">
        <v>40281.0</v>
      </c>
      <c r="G35" s="56">
        <v>29.0</v>
      </c>
      <c r="H35" s="58">
        <v>0.00426338333775451</v>
      </c>
      <c r="I35" s="59">
        <v>0.00457175925925926</v>
      </c>
      <c r="J35" s="59">
        <v>0.0197569444444444</v>
      </c>
      <c r="K35" s="59">
        <v>0.135162037037037</v>
      </c>
      <c r="L35" s="56">
        <v>0.0</v>
      </c>
      <c r="M35" s="56">
        <v>3.0</v>
      </c>
      <c r="N35" s="60"/>
      <c r="O35" s="61">
        <v>1.58620689655172</v>
      </c>
      <c r="P35" s="60">
        <v>1.0</v>
      </c>
      <c r="Q35" s="62">
        <f>IFERROR(__xludf.DUMMYFUNCTION("""COMPUTED_VALUE"""),155.0)</f>
        <v>155</v>
      </c>
    </row>
    <row r="36" ht="12.75" customHeight="1">
      <c r="A36" s="54" t="s">
        <v>204</v>
      </c>
      <c r="B36" s="54" t="s">
        <v>180</v>
      </c>
      <c r="C36" s="55">
        <v>876324.0</v>
      </c>
      <c r="D36" s="55" t="s">
        <v>30</v>
      </c>
      <c r="E36" s="56" t="s">
        <v>181</v>
      </c>
      <c r="F36" s="57">
        <v>40281.0</v>
      </c>
      <c r="G36" s="56">
        <v>185.0</v>
      </c>
      <c r="H36" s="58">
        <v>0.00168299551363426</v>
      </c>
      <c r="I36" s="59">
        <v>6.94444444444444E-5</v>
      </c>
      <c r="J36" s="59">
        <v>0.0264467592592593</v>
      </c>
      <c r="K36" s="59">
        <v>0.368425925925926</v>
      </c>
      <c r="L36" s="56">
        <v>2.0</v>
      </c>
      <c r="M36" s="56">
        <v>2.0</v>
      </c>
      <c r="N36" s="60"/>
      <c r="O36" s="61">
        <v>1.01081081081081</v>
      </c>
      <c r="P36" s="60">
        <v>0.973262032085562</v>
      </c>
      <c r="Q36" s="62">
        <f>IFERROR(__xludf.DUMMYFUNCTION("""COMPUTED_VALUE"""),162.0)</f>
        <v>162</v>
      </c>
    </row>
    <row r="37" ht="12.75" customHeight="1">
      <c r="A37" s="54" t="s">
        <v>205</v>
      </c>
      <c r="B37" s="54" t="s">
        <v>180</v>
      </c>
      <c r="C37" s="55">
        <v>873045.0</v>
      </c>
      <c r="D37" s="55" t="s">
        <v>22</v>
      </c>
      <c r="E37" s="56" t="s">
        <v>184</v>
      </c>
      <c r="F37" s="57">
        <v>40281.0</v>
      </c>
      <c r="G37" s="56">
        <v>155.0</v>
      </c>
      <c r="H37" s="58">
        <v>0.00366727634712963</v>
      </c>
      <c r="I37" s="59">
        <v>0.0167361111111111</v>
      </c>
      <c r="J37" s="59">
        <v>0.0338888888888889</v>
      </c>
      <c r="K37" s="59">
        <v>0.364293981481481</v>
      </c>
      <c r="L37" s="56">
        <v>5.0</v>
      </c>
      <c r="M37" s="56">
        <v>12.0</v>
      </c>
      <c r="N37" s="60">
        <v>0.833333333333333</v>
      </c>
      <c r="O37" s="61">
        <v>1.09032258064516</v>
      </c>
      <c r="P37" s="60">
        <v>0.976331360946746</v>
      </c>
      <c r="Q37" s="62">
        <f>IFERROR(__xludf.DUMMYFUNCTION("""COMPUTED_VALUE"""),49.0)</f>
        <v>49</v>
      </c>
    </row>
    <row r="38" ht="12.75" customHeight="1">
      <c r="A38" s="54" t="s">
        <v>206</v>
      </c>
      <c r="B38" s="54" t="s">
        <v>183</v>
      </c>
      <c r="C38" s="55">
        <v>876477.0</v>
      </c>
      <c r="D38" s="55" t="s">
        <v>207</v>
      </c>
      <c r="E38" s="56" t="e">
        <v>#N/A</v>
      </c>
      <c r="F38" s="57">
        <v>40281.0</v>
      </c>
      <c r="G38" s="56">
        <v>162.0</v>
      </c>
      <c r="H38" s="58">
        <v>0.00237788288681713</v>
      </c>
      <c r="I38" s="59">
        <v>0.00783564814814815</v>
      </c>
      <c r="J38" s="59">
        <v>0.0317592592592593</v>
      </c>
      <c r="K38" s="59">
        <v>0.351157407407407</v>
      </c>
      <c r="L38" s="56">
        <v>2.0</v>
      </c>
      <c r="M38" s="56">
        <v>16.0</v>
      </c>
      <c r="N38" s="60">
        <v>1.0</v>
      </c>
      <c r="O38" s="61">
        <v>0.814814814814815</v>
      </c>
      <c r="P38" s="60">
        <v>1.0</v>
      </c>
      <c r="Q38" s="62">
        <f>IFERROR(__xludf.DUMMYFUNCTION("""COMPUTED_VALUE"""),143.0)</f>
        <v>143</v>
      </c>
    </row>
    <row r="39" ht="12.75" customHeight="1">
      <c r="A39" s="54" t="s">
        <v>6</v>
      </c>
      <c r="B39" s="54" t="s">
        <v>183</v>
      </c>
      <c r="C39" s="55">
        <v>876387.0</v>
      </c>
      <c r="D39" s="55" t="s">
        <v>19</v>
      </c>
      <c r="E39" s="56" t="s">
        <v>181</v>
      </c>
      <c r="F39" s="57">
        <v>40281.0</v>
      </c>
      <c r="G39" s="56">
        <v>180.0</v>
      </c>
      <c r="H39" s="58">
        <v>0.00192573303426238</v>
      </c>
      <c r="I39" s="59">
        <v>2.89351851851852E-4</v>
      </c>
      <c r="J39" s="59">
        <v>0.0309837962962963</v>
      </c>
      <c r="K39" s="59">
        <v>0.380740740740741</v>
      </c>
      <c r="L39" s="56">
        <v>2.0</v>
      </c>
      <c r="M39" s="56">
        <v>5.0</v>
      </c>
      <c r="N39" s="60">
        <v>1.0</v>
      </c>
      <c r="O39" s="61">
        <v>1.03333333333333</v>
      </c>
      <c r="P39" s="60">
        <v>0.973118279569892</v>
      </c>
      <c r="Q39" s="62">
        <f>IFERROR(__xludf.DUMMYFUNCTION("""COMPUTED_VALUE"""),150.0)</f>
        <v>150</v>
      </c>
    </row>
    <row r="40" ht="12.75" customHeight="1">
      <c r="A40" s="54" t="s">
        <v>208</v>
      </c>
      <c r="B40" s="54" t="s">
        <v>183</v>
      </c>
      <c r="C40" s="55">
        <v>873035.0</v>
      </c>
      <c r="D40" s="55" t="s">
        <v>199</v>
      </c>
      <c r="E40" s="56" t="s">
        <v>184</v>
      </c>
      <c r="F40" s="57">
        <v>40281.0</v>
      </c>
      <c r="G40" s="56">
        <v>49.0</v>
      </c>
      <c r="H40" s="58">
        <v>0.00188681019677083</v>
      </c>
      <c r="I40" s="59">
        <v>3.47222222222222E-5</v>
      </c>
      <c r="J40" s="59">
        <v>0.0331597222222222</v>
      </c>
      <c r="K40" s="59">
        <v>0.199571759259259</v>
      </c>
      <c r="L40" s="56">
        <v>1.0</v>
      </c>
      <c r="M40" s="56">
        <v>1.0</v>
      </c>
      <c r="N40" s="60"/>
      <c r="O40" s="61">
        <v>1.02040816326531</v>
      </c>
      <c r="P40" s="60">
        <v>0.98</v>
      </c>
      <c r="Q40" s="62">
        <f>IFERROR(__xludf.DUMMYFUNCTION("""COMPUTED_VALUE"""),102.0)</f>
        <v>102</v>
      </c>
    </row>
    <row r="41" ht="12.75" customHeight="1">
      <c r="A41" s="54" t="s">
        <v>209</v>
      </c>
      <c r="B41" s="54" t="s">
        <v>183</v>
      </c>
      <c r="C41" s="55">
        <v>876367.0</v>
      </c>
      <c r="D41" s="55" t="s">
        <v>199</v>
      </c>
      <c r="E41" s="56" t="s">
        <v>181</v>
      </c>
      <c r="F41" s="57">
        <v>40281.0</v>
      </c>
      <c r="G41" s="56">
        <v>143.0</v>
      </c>
      <c r="H41" s="58">
        <v>0.00245837776748843</v>
      </c>
      <c r="I41" s="59">
        <v>0.0019212962962963</v>
      </c>
      <c r="J41" s="59">
        <v>0.0278125</v>
      </c>
      <c r="K41" s="59">
        <v>0.302361111111111</v>
      </c>
      <c r="L41" s="56">
        <v>2.0</v>
      </c>
      <c r="M41" s="56">
        <v>4.0</v>
      </c>
      <c r="N41" s="60">
        <v>1.0</v>
      </c>
      <c r="O41" s="61">
        <v>1.23076923076923</v>
      </c>
      <c r="P41" s="60">
        <v>0.982954545454545</v>
      </c>
      <c r="Q41" s="62">
        <f>IFERROR(__xludf.DUMMYFUNCTION("""COMPUTED_VALUE"""),188.0)</f>
        <v>188</v>
      </c>
    </row>
    <row r="42" ht="12.75" customHeight="1">
      <c r="A42" s="54" t="s">
        <v>210</v>
      </c>
      <c r="B42" s="54" t="s">
        <v>183</v>
      </c>
      <c r="C42" s="55">
        <v>876325.0</v>
      </c>
      <c r="D42" s="55" t="s">
        <v>29</v>
      </c>
      <c r="E42" s="56" t="s">
        <v>181</v>
      </c>
      <c r="F42" s="57">
        <v>40281.0</v>
      </c>
      <c r="G42" s="56">
        <v>150.0</v>
      </c>
      <c r="H42" s="58">
        <v>0.00175123461971065</v>
      </c>
      <c r="I42" s="59">
        <v>1.04166666666667E-4</v>
      </c>
      <c r="J42" s="59">
        <v>0.0353240740740741</v>
      </c>
      <c r="K42" s="59">
        <v>0.360081018518519</v>
      </c>
      <c r="L42" s="56">
        <v>0.0</v>
      </c>
      <c r="M42" s="56">
        <v>1.0</v>
      </c>
      <c r="N42" s="60"/>
      <c r="O42" s="61">
        <v>0.866666666666667</v>
      </c>
      <c r="P42" s="60">
        <v>0.961538461538462</v>
      </c>
      <c r="Q42" s="62">
        <f>IFERROR(__xludf.DUMMYFUNCTION("""COMPUTED_VALUE"""),206.0)</f>
        <v>206</v>
      </c>
    </row>
    <row r="43" ht="12.75" customHeight="1">
      <c r="A43" s="54" t="s">
        <v>211</v>
      </c>
      <c r="B43" s="54" t="s">
        <v>183</v>
      </c>
      <c r="C43" s="55">
        <v>876011.0</v>
      </c>
      <c r="D43" s="55" t="s">
        <v>20</v>
      </c>
      <c r="E43" s="56" t="s">
        <v>182</v>
      </c>
      <c r="F43" s="57">
        <v>40281.0</v>
      </c>
      <c r="G43" s="56">
        <v>102.0</v>
      </c>
      <c r="H43" s="58">
        <v>0.00189043209301995</v>
      </c>
      <c r="I43" s="59">
        <v>8.21759259259259E-4</v>
      </c>
      <c r="J43" s="59">
        <v>7.63888888888889E-4</v>
      </c>
      <c r="K43" s="59">
        <v>0.15556712962963</v>
      </c>
      <c r="L43" s="56">
        <v>2.0</v>
      </c>
      <c r="M43" s="56">
        <v>3.0</v>
      </c>
      <c r="N43" s="60"/>
      <c r="O43" s="61">
        <v>1.07843137254902</v>
      </c>
      <c r="P43" s="60">
        <v>0.981818181818182</v>
      </c>
      <c r="Q43" s="62">
        <f>IFERROR(__xludf.DUMMYFUNCTION("""COMPUTED_VALUE"""),202.0)</f>
        <v>202</v>
      </c>
    </row>
    <row r="44" ht="12.75" customHeight="1">
      <c r="A44" s="54" t="s">
        <v>212</v>
      </c>
      <c r="B44" s="54" t="s">
        <v>183</v>
      </c>
      <c r="C44" s="55">
        <v>873002.0</v>
      </c>
      <c r="D44" s="55" t="s">
        <v>21</v>
      </c>
      <c r="E44" s="56" t="s">
        <v>184</v>
      </c>
      <c r="F44" s="57">
        <v>40281.0</v>
      </c>
      <c r="G44" s="56">
        <v>188.0</v>
      </c>
      <c r="H44" s="58">
        <v>0.00182923718875198</v>
      </c>
      <c r="I44" s="59">
        <v>0.00168981481481481</v>
      </c>
      <c r="J44" s="59">
        <v>0.0301851851851852</v>
      </c>
      <c r="K44" s="59">
        <v>0.370219907407407</v>
      </c>
      <c r="L44" s="56">
        <v>1.0</v>
      </c>
      <c r="M44" s="56">
        <v>6.0</v>
      </c>
      <c r="N44" s="60">
        <v>0.8</v>
      </c>
      <c r="O44" s="61">
        <v>1.13297872340426</v>
      </c>
      <c r="P44" s="60">
        <v>0.953051643192488</v>
      </c>
      <c r="Q44" s="62">
        <f>IFERROR(__xludf.DUMMYFUNCTION("""COMPUTED_VALUE"""),66.0)</f>
        <v>66</v>
      </c>
    </row>
    <row r="45" ht="12.75" customHeight="1">
      <c r="A45" s="54" t="s">
        <v>213</v>
      </c>
      <c r="B45" s="54" t="s">
        <v>183</v>
      </c>
      <c r="C45" s="55">
        <v>873011.0</v>
      </c>
      <c r="D45" s="55" t="s">
        <v>32</v>
      </c>
      <c r="E45" s="56" t="s">
        <v>184</v>
      </c>
      <c r="F45" s="57">
        <v>40281.0</v>
      </c>
      <c r="G45" s="56">
        <v>206.0</v>
      </c>
      <c r="H45" s="58">
        <v>0.00153730112201073</v>
      </c>
      <c r="I45" s="59">
        <v>3.93518518518519E-4</v>
      </c>
      <c r="J45" s="59">
        <v>0.0275231481481481</v>
      </c>
      <c r="K45" s="59">
        <v>0.353206018518519</v>
      </c>
      <c r="L45" s="56">
        <v>2.0</v>
      </c>
      <c r="M45" s="56">
        <v>4.0</v>
      </c>
      <c r="N45" s="60">
        <v>1.0</v>
      </c>
      <c r="O45" s="61">
        <v>1.16019417475728</v>
      </c>
      <c r="P45" s="60">
        <v>0.99163179916318</v>
      </c>
      <c r="Q45" s="62">
        <f>IFERROR(__xludf.DUMMYFUNCTION("""COMPUTED_VALUE"""),100.0)</f>
        <v>100</v>
      </c>
    </row>
    <row r="46" ht="12.75" customHeight="1">
      <c r="A46" s="54" t="s">
        <v>5</v>
      </c>
      <c r="B46" s="54" t="s">
        <v>183</v>
      </c>
      <c r="C46" s="55">
        <v>873098.0</v>
      </c>
      <c r="D46" s="55" t="s">
        <v>32</v>
      </c>
      <c r="E46" s="56" t="s">
        <v>184</v>
      </c>
      <c r="F46" s="57">
        <v>40281.0</v>
      </c>
      <c r="G46" s="56">
        <v>249.0</v>
      </c>
      <c r="H46" s="58">
        <v>0.00136429983190627</v>
      </c>
      <c r="I46" s="59">
        <v>1.50462962962963E-4</v>
      </c>
      <c r="J46" s="59">
        <v>0.0317592592592593</v>
      </c>
      <c r="K46" s="59">
        <v>0.380775462962963</v>
      </c>
      <c r="L46" s="56">
        <v>2.0</v>
      </c>
      <c r="M46" s="56">
        <v>2.0</v>
      </c>
      <c r="N46" s="60">
        <v>0.833333333333333</v>
      </c>
      <c r="O46" s="61">
        <v>0.971887550200803</v>
      </c>
      <c r="P46" s="60">
        <v>0.987603305785124</v>
      </c>
      <c r="Q46" s="62">
        <f>IFERROR(__xludf.DUMMYFUNCTION("""COMPUTED_VALUE"""),146.0)</f>
        <v>146</v>
      </c>
    </row>
    <row r="47" ht="12.75" customHeight="1">
      <c r="A47" s="54" t="s">
        <v>214</v>
      </c>
      <c r="B47" s="54" t="s">
        <v>183</v>
      </c>
      <c r="C47" s="55">
        <v>873070.0</v>
      </c>
      <c r="D47" s="55" t="s">
        <v>32</v>
      </c>
      <c r="E47" s="56" t="s">
        <v>184</v>
      </c>
      <c r="F47" s="57">
        <v>40281.0</v>
      </c>
      <c r="G47" s="56">
        <v>202.0</v>
      </c>
      <c r="H47" s="58">
        <v>0.00212674392594329</v>
      </c>
      <c r="I47" s="59">
        <v>0.00616898148148148</v>
      </c>
      <c r="J47" s="59">
        <v>0.0334953703703704</v>
      </c>
      <c r="K47" s="59">
        <v>0.377222222222222</v>
      </c>
      <c r="L47" s="56">
        <v>1.0</v>
      </c>
      <c r="M47" s="56">
        <v>11.0</v>
      </c>
      <c r="N47" s="60">
        <v>0.666666666666667</v>
      </c>
      <c r="O47" s="61">
        <v>0.722772277227723</v>
      </c>
      <c r="P47" s="60">
        <v>0.965753424657534</v>
      </c>
      <c r="Q47" s="62">
        <f>IFERROR(__xludf.DUMMYFUNCTION("""COMPUTED_VALUE"""),139.0)</f>
        <v>139</v>
      </c>
    </row>
    <row r="48" ht="12.75" customHeight="1">
      <c r="A48" s="54" t="s">
        <v>90</v>
      </c>
      <c r="B48" s="54" t="s">
        <v>183</v>
      </c>
      <c r="C48" s="55">
        <v>876351.0</v>
      </c>
      <c r="D48" s="55" t="s">
        <v>19</v>
      </c>
      <c r="E48" s="56" t="s">
        <v>181</v>
      </c>
      <c r="F48" s="57">
        <v>40281.0</v>
      </c>
      <c r="G48" s="56">
        <v>66.0</v>
      </c>
      <c r="H48" s="58">
        <v>0.00187727981143519</v>
      </c>
      <c r="I48" s="59">
        <v>0.0</v>
      </c>
      <c r="J48" s="59">
        <v>5.78703703703704E-5</v>
      </c>
      <c r="K48" s="59">
        <v>0.127581018518519</v>
      </c>
      <c r="L48" s="56">
        <v>0.0</v>
      </c>
      <c r="M48" s="56">
        <v>0.0</v>
      </c>
      <c r="N48" s="60">
        <v>1.0</v>
      </c>
      <c r="O48" s="61">
        <v>1.06060606060606</v>
      </c>
      <c r="P48" s="60">
        <v>0.971428571428571</v>
      </c>
      <c r="Q48" s="62">
        <f>IFERROR(__xludf.DUMMYFUNCTION("""COMPUTED_VALUE"""),86.0)</f>
        <v>86</v>
      </c>
    </row>
    <row r="49" ht="12.75" customHeight="1">
      <c r="A49" s="54" t="s">
        <v>215</v>
      </c>
      <c r="B49" s="54" t="s">
        <v>183</v>
      </c>
      <c r="C49" s="55">
        <v>876406.0</v>
      </c>
      <c r="D49" s="55" t="s">
        <v>28</v>
      </c>
      <c r="E49" s="56" t="s">
        <v>193</v>
      </c>
      <c r="F49" s="57">
        <v>40281.0</v>
      </c>
      <c r="G49" s="56">
        <v>100.0</v>
      </c>
      <c r="H49" s="58">
        <v>0.00406215295471076</v>
      </c>
      <c r="I49" s="59">
        <v>0.021099537037037</v>
      </c>
      <c r="J49" s="59">
        <v>0.0331365740740741</v>
      </c>
      <c r="K49" s="59">
        <v>0.390462962962963</v>
      </c>
      <c r="L49" s="56">
        <v>1.0</v>
      </c>
      <c r="M49" s="56">
        <v>25.0</v>
      </c>
      <c r="N49" s="60">
        <v>0.333333333333333</v>
      </c>
      <c r="O49" s="61">
        <v>0.87</v>
      </c>
      <c r="P49" s="60">
        <v>0.988505747126437</v>
      </c>
      <c r="Q49" s="62">
        <f>IFERROR(__xludf.DUMMYFUNCTION("""COMPUTED_VALUE"""),153.0)</f>
        <v>153</v>
      </c>
    </row>
    <row r="50" ht="12.75" customHeight="1">
      <c r="A50" s="54" t="s">
        <v>216</v>
      </c>
      <c r="B50" s="54" t="s">
        <v>183</v>
      </c>
      <c r="C50" s="55">
        <v>873293.0</v>
      </c>
      <c r="D50" s="55" t="s">
        <v>21</v>
      </c>
      <c r="E50" s="56" t="s">
        <v>193</v>
      </c>
      <c r="F50" s="57">
        <v>40281.0</v>
      </c>
      <c r="G50" s="56">
        <v>146.0</v>
      </c>
      <c r="H50" s="58">
        <v>0.00260815311602245</v>
      </c>
      <c r="I50" s="59">
        <v>0.00243055555555556</v>
      </c>
      <c r="J50" s="59">
        <v>0.0298726851851852</v>
      </c>
      <c r="K50" s="59">
        <v>0.36318287037037</v>
      </c>
      <c r="L50" s="56">
        <v>2.0</v>
      </c>
      <c r="M50" s="56">
        <v>7.0</v>
      </c>
      <c r="N50" s="60">
        <v>1.0</v>
      </c>
      <c r="O50" s="61">
        <v>1.23972602739726</v>
      </c>
      <c r="P50" s="60">
        <v>0.922651933701657</v>
      </c>
      <c r="Q50" s="62">
        <f>IFERROR(__xludf.DUMMYFUNCTION("""COMPUTED_VALUE"""),177.0)</f>
        <v>177</v>
      </c>
    </row>
    <row r="51" ht="12.75" customHeight="1">
      <c r="A51" s="54" t="s">
        <v>217</v>
      </c>
      <c r="B51" s="54" t="s">
        <v>183</v>
      </c>
      <c r="C51" s="55">
        <v>876381.0</v>
      </c>
      <c r="D51" s="55" t="s">
        <v>29</v>
      </c>
      <c r="E51" s="56" t="s">
        <v>181</v>
      </c>
      <c r="F51" s="57">
        <v>40281.0</v>
      </c>
      <c r="G51" s="56">
        <v>139.0</v>
      </c>
      <c r="H51" s="58">
        <v>0.00268260390670139</v>
      </c>
      <c r="I51" s="59">
        <v>0.00174768518518519</v>
      </c>
      <c r="J51" s="59">
        <v>0.0353009259259259</v>
      </c>
      <c r="K51" s="59">
        <v>0.37306712962963</v>
      </c>
      <c r="L51" s="56">
        <v>0.0</v>
      </c>
      <c r="M51" s="56">
        <v>2.0</v>
      </c>
      <c r="N51" s="60">
        <v>1.0</v>
      </c>
      <c r="O51" s="61">
        <v>1.28057553956835</v>
      </c>
      <c r="P51" s="60">
        <v>0.966292134831461</v>
      </c>
      <c r="Q51" s="62">
        <f>IFERROR(__xludf.DUMMYFUNCTION("""COMPUTED_VALUE"""),125.0)</f>
        <v>125</v>
      </c>
    </row>
    <row r="52" ht="12.75" customHeight="1">
      <c r="A52" s="54" t="s">
        <v>218</v>
      </c>
      <c r="B52" s="54" t="s">
        <v>183</v>
      </c>
      <c r="C52" s="55">
        <v>873087.0</v>
      </c>
      <c r="D52" s="55" t="s">
        <v>27</v>
      </c>
      <c r="E52" s="56" t="s">
        <v>184</v>
      </c>
      <c r="F52" s="57">
        <v>40281.0</v>
      </c>
      <c r="G52" s="56">
        <v>86.0</v>
      </c>
      <c r="H52" s="58">
        <v>0.00235963062003472</v>
      </c>
      <c r="I52" s="59">
        <v>6.8287037037037E-4</v>
      </c>
      <c r="J52" s="59">
        <v>0.0297685185185185</v>
      </c>
      <c r="K52" s="59">
        <v>0.190717592592593</v>
      </c>
      <c r="L52" s="56">
        <v>0.0</v>
      </c>
      <c r="M52" s="56">
        <v>1.0</v>
      </c>
      <c r="N52" s="60">
        <v>1.0</v>
      </c>
      <c r="O52" s="61">
        <v>1.09302325581395</v>
      </c>
      <c r="P52" s="60">
        <v>0.978723404255319</v>
      </c>
      <c r="Q52" s="62">
        <f>IFERROR(__xludf.DUMMYFUNCTION("""COMPUTED_VALUE"""),138.0)</f>
        <v>138</v>
      </c>
    </row>
    <row r="53" ht="12.75" customHeight="1">
      <c r="A53" s="54" t="s">
        <v>14</v>
      </c>
      <c r="B53" s="54" t="s">
        <v>183</v>
      </c>
      <c r="C53" s="55">
        <v>873021.0</v>
      </c>
      <c r="D53" s="55" t="s">
        <v>27</v>
      </c>
      <c r="E53" s="56" t="s">
        <v>182</v>
      </c>
      <c r="F53" s="57">
        <v>40281.0</v>
      </c>
      <c r="G53" s="56">
        <v>153.0</v>
      </c>
      <c r="H53" s="58">
        <v>0.00259221430178241</v>
      </c>
      <c r="I53" s="59">
        <v>0.00974537037037037</v>
      </c>
      <c r="J53" s="59">
        <v>0.0319560185185185</v>
      </c>
      <c r="K53" s="59">
        <v>0.375381944444444</v>
      </c>
      <c r="L53" s="56">
        <v>2.0</v>
      </c>
      <c r="M53" s="56">
        <v>17.0</v>
      </c>
      <c r="N53" s="60">
        <v>1.0</v>
      </c>
      <c r="O53" s="61">
        <v>1.27450980392157</v>
      </c>
      <c r="P53" s="60">
        <v>0.969230769230769</v>
      </c>
      <c r="Q53" s="62">
        <f>IFERROR(__xludf.DUMMYFUNCTION("""COMPUTED_VALUE"""),182.0)</f>
        <v>182</v>
      </c>
    </row>
    <row r="54" ht="12.75" customHeight="1">
      <c r="A54" s="54" t="s">
        <v>219</v>
      </c>
      <c r="B54" s="54" t="s">
        <v>183</v>
      </c>
      <c r="C54" s="55">
        <v>873036.0</v>
      </c>
      <c r="D54" s="55" t="s">
        <v>199</v>
      </c>
      <c r="E54" s="56" t="s">
        <v>184</v>
      </c>
      <c r="F54" s="57">
        <v>40281.0</v>
      </c>
      <c r="G54" s="56">
        <v>126.0</v>
      </c>
      <c r="H54" s="58">
        <v>0.00171902552798495</v>
      </c>
      <c r="I54" s="59">
        <v>0.00100694444444444</v>
      </c>
      <c r="J54" s="59">
        <v>0.0177893518518519</v>
      </c>
      <c r="K54" s="59">
        <v>0.232233796296296</v>
      </c>
      <c r="L54" s="56">
        <v>1.0</v>
      </c>
      <c r="M54" s="56">
        <v>3.0</v>
      </c>
      <c r="N54" s="60">
        <v>0.8</v>
      </c>
      <c r="O54" s="61">
        <v>1.15873015873016</v>
      </c>
      <c r="P54" s="60">
        <v>0.993150684931507</v>
      </c>
      <c r="Q54" s="62">
        <f>IFERROR(__xludf.DUMMYFUNCTION("""COMPUTED_VALUE"""),55.0)</f>
        <v>55</v>
      </c>
    </row>
    <row r="55" ht="12.75" customHeight="1">
      <c r="A55" s="54" t="s">
        <v>220</v>
      </c>
      <c r="B55" s="54" t="s">
        <v>183</v>
      </c>
      <c r="C55" s="55">
        <v>873114.0</v>
      </c>
      <c r="D55" s="55" t="s">
        <v>21</v>
      </c>
      <c r="E55" s="56" t="s">
        <v>184</v>
      </c>
      <c r="F55" s="57">
        <v>40281.0</v>
      </c>
      <c r="G55" s="56">
        <v>177.0</v>
      </c>
      <c r="H55" s="58">
        <v>0.00209320134935821</v>
      </c>
      <c r="I55" s="59">
        <v>0.00496527777777778</v>
      </c>
      <c r="J55" s="59">
        <v>0.031712962962963</v>
      </c>
      <c r="K55" s="59">
        <v>0.359108796296296</v>
      </c>
      <c r="L55" s="56">
        <v>3.0</v>
      </c>
      <c r="M55" s="56">
        <v>11.0</v>
      </c>
      <c r="N55" s="60">
        <v>0.8</v>
      </c>
      <c r="O55" s="61">
        <v>0.92090395480226</v>
      </c>
      <c r="P55" s="60">
        <v>0.969325153374233</v>
      </c>
      <c r="Q55" s="62">
        <f>IFERROR(__xludf.DUMMYFUNCTION("""COMPUTED_VALUE"""),183.0)</f>
        <v>183</v>
      </c>
    </row>
    <row r="56" ht="12.75" customHeight="1">
      <c r="A56" s="54" t="s">
        <v>221</v>
      </c>
      <c r="B56" s="54" t="s">
        <v>183</v>
      </c>
      <c r="C56" s="55">
        <v>876476.0</v>
      </c>
      <c r="D56" s="55" t="s">
        <v>23</v>
      </c>
      <c r="E56" s="56" t="s">
        <v>203</v>
      </c>
      <c r="F56" s="57">
        <v>40281.0</v>
      </c>
      <c r="G56" s="56">
        <v>125.0</v>
      </c>
      <c r="H56" s="58">
        <v>0.00380126771414106</v>
      </c>
      <c r="I56" s="59">
        <v>0.0445138888888889</v>
      </c>
      <c r="J56" s="59">
        <v>0.0329861111111111</v>
      </c>
      <c r="K56" s="59">
        <v>0.362037037037037</v>
      </c>
      <c r="L56" s="56">
        <v>2.0</v>
      </c>
      <c r="M56" s="56">
        <v>13.0</v>
      </c>
      <c r="N56" s="60">
        <v>1.0</v>
      </c>
      <c r="O56" s="61">
        <v>0.936</v>
      </c>
      <c r="P56" s="60">
        <v>0.948717948717949</v>
      </c>
      <c r="Q56" s="62">
        <f>IFERROR(__xludf.DUMMYFUNCTION("""COMPUTED_VALUE"""),170.0)</f>
        <v>170</v>
      </c>
    </row>
    <row r="57" ht="12.75" customHeight="1">
      <c r="A57" s="54" t="s">
        <v>222</v>
      </c>
      <c r="B57" s="54" t="s">
        <v>183</v>
      </c>
      <c r="C57" s="55">
        <v>873213.0</v>
      </c>
      <c r="D57" s="55" t="s">
        <v>23</v>
      </c>
      <c r="E57" s="56" t="s">
        <v>184</v>
      </c>
      <c r="F57" s="57">
        <v>40281.0</v>
      </c>
      <c r="G57" s="56">
        <v>138.0</v>
      </c>
      <c r="H57" s="58">
        <v>0.00303156870383102</v>
      </c>
      <c r="I57" s="59">
        <v>0.00127314814814815</v>
      </c>
      <c r="J57" s="59">
        <v>0.040625</v>
      </c>
      <c r="K57" s="59">
        <v>0.341863425925926</v>
      </c>
      <c r="L57" s="56">
        <v>1.0</v>
      </c>
      <c r="M57" s="56">
        <v>2.0</v>
      </c>
      <c r="N57" s="60">
        <v>0.75</v>
      </c>
      <c r="O57" s="61">
        <v>1.59420289855072</v>
      </c>
      <c r="P57" s="60">
        <v>0.940909090909091</v>
      </c>
      <c r="Q57" s="62">
        <f>IFERROR(__xludf.DUMMYFUNCTION("""COMPUTED_VALUE"""),187.0)</f>
        <v>187</v>
      </c>
    </row>
    <row r="58" ht="12.75" customHeight="1">
      <c r="A58" s="54" t="s">
        <v>223</v>
      </c>
      <c r="B58" s="54" t="s">
        <v>183</v>
      </c>
      <c r="C58" s="55">
        <v>873303.0</v>
      </c>
      <c r="D58" s="55" t="s">
        <v>30</v>
      </c>
      <c r="E58" s="56" t="s">
        <v>193</v>
      </c>
      <c r="F58" s="57">
        <v>40281.0</v>
      </c>
      <c r="G58" s="56">
        <v>141.0</v>
      </c>
      <c r="H58" s="58">
        <v>0.0021290549525463</v>
      </c>
      <c r="I58" s="59">
        <v>4.62962962962963E-5</v>
      </c>
      <c r="J58" s="59">
        <v>0.0312268518518519</v>
      </c>
      <c r="K58" s="59">
        <v>0.342303240740741</v>
      </c>
      <c r="L58" s="56">
        <v>1.0</v>
      </c>
      <c r="M58" s="56">
        <v>1.0</v>
      </c>
      <c r="N58" s="60">
        <v>0.666666666666667</v>
      </c>
      <c r="O58" s="61">
        <v>1.14184397163121</v>
      </c>
      <c r="P58" s="60">
        <v>1.0</v>
      </c>
      <c r="Q58" s="62">
        <f>IFERROR(__xludf.DUMMYFUNCTION("""COMPUTED_VALUE"""),181.0)</f>
        <v>181</v>
      </c>
    </row>
    <row r="59" ht="12.75" customHeight="1">
      <c r="A59" s="54" t="s">
        <v>224</v>
      </c>
      <c r="B59" s="54" t="s">
        <v>183</v>
      </c>
      <c r="C59" s="55">
        <v>876420.0</v>
      </c>
      <c r="D59" s="55" t="s">
        <v>28</v>
      </c>
      <c r="E59" s="56" t="s">
        <v>193</v>
      </c>
      <c r="F59" s="57">
        <v>40281.0</v>
      </c>
      <c r="G59" s="56">
        <v>182.0</v>
      </c>
      <c r="H59" s="58">
        <v>0.00241176362667014</v>
      </c>
      <c r="I59" s="59">
        <v>0.00628472222222222</v>
      </c>
      <c r="J59" s="59">
        <v>0.0347800925925926</v>
      </c>
      <c r="K59" s="59">
        <v>0.390405092592593</v>
      </c>
      <c r="L59" s="56">
        <v>3.0</v>
      </c>
      <c r="M59" s="56">
        <v>12.0</v>
      </c>
      <c r="N59" s="60">
        <v>1.0</v>
      </c>
      <c r="O59" s="61">
        <v>0.956043956043956</v>
      </c>
      <c r="P59" s="60">
        <v>0.954022988505747</v>
      </c>
      <c r="Q59" s="62">
        <f>IFERROR(__xludf.DUMMYFUNCTION("""COMPUTED_VALUE"""),230.0)</f>
        <v>230</v>
      </c>
    </row>
    <row r="60" ht="12.75" customHeight="1">
      <c r="A60" s="54" t="s">
        <v>225</v>
      </c>
      <c r="B60" s="54" t="s">
        <v>183</v>
      </c>
      <c r="C60" s="55">
        <v>873110.0</v>
      </c>
      <c r="D60" s="55" t="s">
        <v>22</v>
      </c>
      <c r="E60" s="56" t="s">
        <v>184</v>
      </c>
      <c r="F60" s="57">
        <v>40281.0</v>
      </c>
      <c r="G60" s="56">
        <v>55.0</v>
      </c>
      <c r="H60" s="58">
        <v>0.00125336700015046</v>
      </c>
      <c r="I60" s="59">
        <v>5.78703703703704E-5</v>
      </c>
      <c r="J60" s="59">
        <v>0.00443287037037037</v>
      </c>
      <c r="K60" s="59">
        <v>0.0980324074074074</v>
      </c>
      <c r="L60" s="56">
        <v>1.0</v>
      </c>
      <c r="M60" s="56">
        <v>2.0</v>
      </c>
      <c r="N60" s="60">
        <v>1.0</v>
      </c>
      <c r="O60" s="61">
        <v>1.12727272727273</v>
      </c>
      <c r="P60" s="60">
        <v>0.967741935483871</v>
      </c>
      <c r="Q60" s="62">
        <f>IFERROR(__xludf.DUMMYFUNCTION("""COMPUTED_VALUE"""),216.0)</f>
        <v>216</v>
      </c>
    </row>
    <row r="61" ht="12.75" customHeight="1">
      <c r="A61" s="54" t="s">
        <v>226</v>
      </c>
      <c r="B61" s="54" t="s">
        <v>183</v>
      </c>
      <c r="C61" s="55">
        <v>873111.0</v>
      </c>
      <c r="D61" s="55" t="s">
        <v>22</v>
      </c>
      <c r="E61" s="56" t="s">
        <v>184</v>
      </c>
      <c r="F61" s="57">
        <v>40281.0</v>
      </c>
      <c r="G61" s="56">
        <v>183.0</v>
      </c>
      <c r="H61" s="58">
        <v>0.00167042989904826</v>
      </c>
      <c r="I61" s="59">
        <v>2.5462962962963E-4</v>
      </c>
      <c r="J61" s="59">
        <v>0.0326967592592593</v>
      </c>
      <c r="K61" s="59">
        <v>0.352037037037037</v>
      </c>
      <c r="L61" s="56">
        <v>3.0</v>
      </c>
      <c r="M61" s="56">
        <v>4.0</v>
      </c>
      <c r="N61" s="60">
        <v>0.8</v>
      </c>
      <c r="O61" s="61">
        <v>1.24590163934426</v>
      </c>
      <c r="P61" s="60">
        <v>0.986842105263158</v>
      </c>
      <c r="Q61" s="62">
        <f>IFERROR(__xludf.DUMMYFUNCTION("""COMPUTED_VALUE"""),40.0)</f>
        <v>40</v>
      </c>
    </row>
    <row r="62" ht="12.75" customHeight="1">
      <c r="A62" s="54" t="s">
        <v>227</v>
      </c>
      <c r="B62" s="54" t="s">
        <v>183</v>
      </c>
      <c r="C62" s="55">
        <v>873048.0</v>
      </c>
      <c r="D62" s="55" t="s">
        <v>31</v>
      </c>
      <c r="E62" s="56" t="s">
        <v>184</v>
      </c>
      <c r="F62" s="57">
        <v>40281.0</v>
      </c>
      <c r="G62" s="56">
        <v>170.0</v>
      </c>
      <c r="H62" s="58">
        <v>0.00195812909760644</v>
      </c>
      <c r="I62" s="59">
        <v>5.78703703703704E-5</v>
      </c>
      <c r="J62" s="59">
        <v>0.0253240740740741</v>
      </c>
      <c r="K62" s="59">
        <v>0.353912037037037</v>
      </c>
      <c r="L62" s="56">
        <v>1.0</v>
      </c>
      <c r="M62" s="56">
        <v>1.0</v>
      </c>
      <c r="N62" s="60">
        <v>0.4</v>
      </c>
      <c r="O62" s="61">
        <v>1.15294117647059</v>
      </c>
      <c r="P62" s="60">
        <v>0.959183673469388</v>
      </c>
      <c r="Q62" s="62">
        <f>IFERROR(__xludf.DUMMYFUNCTION("""COMPUTED_VALUE"""),227.0)</f>
        <v>227</v>
      </c>
    </row>
    <row r="63" ht="12.75" customHeight="1">
      <c r="A63" s="54" t="s">
        <v>8</v>
      </c>
      <c r="B63" s="54" t="s">
        <v>183</v>
      </c>
      <c r="C63" s="55">
        <v>876398.0</v>
      </c>
      <c r="D63" s="55" t="s">
        <v>30</v>
      </c>
      <c r="E63" s="56" t="s">
        <v>181</v>
      </c>
      <c r="F63" s="57">
        <v>40281.0</v>
      </c>
      <c r="G63" s="56">
        <v>187.0</v>
      </c>
      <c r="H63" s="58">
        <v>0.00218760317389793</v>
      </c>
      <c r="I63" s="59">
        <v>6.71296296296296E-4</v>
      </c>
      <c r="J63" s="59">
        <v>0.030462962962963</v>
      </c>
      <c r="K63" s="59">
        <v>0.380289351851852</v>
      </c>
      <c r="L63" s="56">
        <v>2.0</v>
      </c>
      <c r="M63" s="56">
        <v>3.0</v>
      </c>
      <c r="N63" s="60">
        <v>0.857142857142857</v>
      </c>
      <c r="O63" s="61">
        <v>1.16042780748663</v>
      </c>
      <c r="P63" s="60">
        <v>0.976958525345622</v>
      </c>
      <c r="Q63" s="62">
        <f>IFERROR(__xludf.DUMMYFUNCTION("""COMPUTED_VALUE"""),121.0)</f>
        <v>121</v>
      </c>
    </row>
    <row r="64" ht="12.75" customHeight="1">
      <c r="A64" s="54" t="s">
        <v>228</v>
      </c>
      <c r="B64" s="54" t="s">
        <v>183</v>
      </c>
      <c r="C64" s="55">
        <v>876391.0</v>
      </c>
      <c r="D64" s="55" t="s">
        <v>21</v>
      </c>
      <c r="E64" s="56" t="s">
        <v>181</v>
      </c>
      <c r="F64" s="57">
        <v>40281.0</v>
      </c>
      <c r="G64" s="56">
        <v>181.0</v>
      </c>
      <c r="H64" s="58">
        <v>0.00161507357837234</v>
      </c>
      <c r="I64" s="59">
        <v>3.24074074074074E-4</v>
      </c>
      <c r="J64" s="59">
        <v>0.0318402777777778</v>
      </c>
      <c r="K64" s="59">
        <v>0.311446759259259</v>
      </c>
      <c r="L64" s="56">
        <v>2.0</v>
      </c>
      <c r="M64" s="56">
        <v>6.0</v>
      </c>
      <c r="N64" s="60">
        <v>0.666666666666667</v>
      </c>
      <c r="O64" s="61">
        <v>0.795580110497238</v>
      </c>
      <c r="P64" s="60">
        <v>0.958333333333333</v>
      </c>
      <c r="Q64" s="62">
        <f>IFERROR(__xludf.DUMMYFUNCTION("""COMPUTED_VALUE"""),111.0)</f>
        <v>111</v>
      </c>
    </row>
    <row r="65" ht="12.75" customHeight="1">
      <c r="A65" s="54" t="s">
        <v>229</v>
      </c>
      <c r="B65" s="54" t="s">
        <v>183</v>
      </c>
      <c r="C65" s="55">
        <v>873043.0</v>
      </c>
      <c r="D65" s="55" t="s">
        <v>22</v>
      </c>
      <c r="E65" s="56" t="s">
        <v>184</v>
      </c>
      <c r="F65" s="57">
        <v>40281.0</v>
      </c>
      <c r="G65" s="56">
        <v>230.0</v>
      </c>
      <c r="H65" s="58">
        <v>0.00147609705173924</v>
      </c>
      <c r="I65" s="59">
        <v>2.19907407407407E-4</v>
      </c>
      <c r="J65" s="59">
        <v>0.0264699074074074</v>
      </c>
      <c r="K65" s="59">
        <v>0.367175925925926</v>
      </c>
      <c r="L65" s="56">
        <v>4.0</v>
      </c>
      <c r="M65" s="56">
        <v>5.0</v>
      </c>
      <c r="N65" s="60">
        <v>1.0</v>
      </c>
      <c r="O65" s="61">
        <v>0.791304347826087</v>
      </c>
      <c r="P65" s="60">
        <v>0.978021978021978</v>
      </c>
      <c r="Q65" s="62">
        <f>IFERROR(__xludf.DUMMYFUNCTION("""COMPUTED_VALUE"""),107.0)</f>
        <v>107</v>
      </c>
    </row>
    <row r="66" ht="12.75" customHeight="1">
      <c r="A66" s="54" t="s">
        <v>230</v>
      </c>
      <c r="B66" s="54" t="s">
        <v>183</v>
      </c>
      <c r="C66" s="55">
        <v>876376.0</v>
      </c>
      <c r="D66" s="55" t="s">
        <v>29</v>
      </c>
      <c r="E66" s="56" t="s">
        <v>181</v>
      </c>
      <c r="F66" s="57">
        <v>40281.0</v>
      </c>
      <c r="G66" s="56">
        <v>216.0</v>
      </c>
      <c r="H66" s="58">
        <v>0.00161334016532778</v>
      </c>
      <c r="I66" s="59">
        <v>2.66203703703704E-4</v>
      </c>
      <c r="J66" s="59">
        <v>0.0335763888888889</v>
      </c>
      <c r="K66" s="59">
        <v>0.384722222222222</v>
      </c>
      <c r="L66" s="56">
        <v>4.0</v>
      </c>
      <c r="M66" s="56">
        <v>5.0</v>
      </c>
      <c r="N66" s="60">
        <v>1.0</v>
      </c>
      <c r="O66" s="61">
        <v>1.11111111111111</v>
      </c>
      <c r="P66" s="60">
        <v>0.954166666666667</v>
      </c>
      <c r="Q66" s="62">
        <f>IFERROR(__xludf.DUMMYFUNCTION("""COMPUTED_VALUE"""),69.0)</f>
        <v>69</v>
      </c>
    </row>
    <row r="67" ht="12.75" customHeight="1">
      <c r="A67" s="54" t="s">
        <v>231</v>
      </c>
      <c r="B67" s="54" t="s">
        <v>183</v>
      </c>
      <c r="C67" s="55">
        <v>876363.0</v>
      </c>
      <c r="D67" s="55" t="s">
        <v>30</v>
      </c>
      <c r="E67" s="56" t="s">
        <v>181</v>
      </c>
      <c r="F67" s="57">
        <v>40281.0</v>
      </c>
      <c r="G67" s="56">
        <v>40.0</v>
      </c>
      <c r="H67" s="58">
        <v>0.00231356104215509</v>
      </c>
      <c r="I67" s="59">
        <v>0.00137731481481481</v>
      </c>
      <c r="J67" s="59">
        <v>0.0165393518518519</v>
      </c>
      <c r="K67" s="59">
        <v>0.108969907407407</v>
      </c>
      <c r="L67" s="56">
        <v>0.0</v>
      </c>
      <c r="M67" s="56">
        <v>3.0</v>
      </c>
      <c r="N67" s="60"/>
      <c r="O67" s="61">
        <v>0.975</v>
      </c>
      <c r="P67" s="60">
        <v>0.897435897435897</v>
      </c>
      <c r="Q67" s="62">
        <f>IFERROR(__xludf.DUMMYFUNCTION("""COMPUTED_VALUE"""),189.0)</f>
        <v>189</v>
      </c>
    </row>
    <row r="68" ht="12.75" customHeight="1">
      <c r="A68" s="54" t="s">
        <v>232</v>
      </c>
      <c r="B68" s="54" t="s">
        <v>183</v>
      </c>
      <c r="C68" s="55">
        <v>873205.0</v>
      </c>
      <c r="D68" s="55" t="s">
        <v>31</v>
      </c>
      <c r="E68" s="56" t="s">
        <v>184</v>
      </c>
      <c r="F68" s="57">
        <v>40281.0</v>
      </c>
      <c r="G68" s="56">
        <v>227.0</v>
      </c>
      <c r="H68" s="58">
        <v>0.00111895580258669</v>
      </c>
      <c r="I68" s="59">
        <v>1.50462962962963E-4</v>
      </c>
      <c r="J68" s="59">
        <v>0.0375925925925926</v>
      </c>
      <c r="K68" s="59">
        <v>0.3</v>
      </c>
      <c r="L68" s="56">
        <v>4.0</v>
      </c>
      <c r="M68" s="56">
        <v>7.0</v>
      </c>
      <c r="N68" s="60">
        <v>1.0</v>
      </c>
      <c r="O68" s="61">
        <v>1.71806167400881</v>
      </c>
      <c r="P68" s="60">
        <v>0.987179487179487</v>
      </c>
      <c r="Q68" s="62">
        <f>IFERROR(__xludf.DUMMYFUNCTION("""COMPUTED_VALUE"""),52.0)</f>
        <v>52</v>
      </c>
    </row>
    <row r="69" ht="12.75" customHeight="1">
      <c r="A69" s="54" t="s">
        <v>233</v>
      </c>
      <c r="B69" s="54" t="s">
        <v>183</v>
      </c>
      <c r="C69" s="55">
        <v>876423.0</v>
      </c>
      <c r="D69" s="55" t="s">
        <v>28</v>
      </c>
      <c r="E69" s="56" t="s">
        <v>193</v>
      </c>
      <c r="F69" s="57">
        <v>40281.0</v>
      </c>
      <c r="G69" s="56">
        <v>121.0</v>
      </c>
      <c r="H69" s="58">
        <v>0.00361660428906283</v>
      </c>
      <c r="I69" s="59">
        <v>0.0146875</v>
      </c>
      <c r="J69" s="59">
        <v>0.0365740740740741</v>
      </c>
      <c r="K69" s="59">
        <v>0.364814814814815</v>
      </c>
      <c r="L69" s="56">
        <v>1.0</v>
      </c>
      <c r="M69" s="56">
        <v>14.0</v>
      </c>
      <c r="N69" s="60">
        <v>0.8</v>
      </c>
      <c r="O69" s="61">
        <v>0.925619834710744</v>
      </c>
      <c r="P69" s="60">
        <v>1.0</v>
      </c>
      <c r="Q69" s="62">
        <f>IFERROR(__xludf.DUMMYFUNCTION("""COMPUTED_VALUE"""),271.0)</f>
        <v>271</v>
      </c>
    </row>
    <row r="70" ht="12.75" customHeight="1">
      <c r="A70" s="54" t="s">
        <v>234</v>
      </c>
      <c r="B70" s="54" t="s">
        <v>183</v>
      </c>
      <c r="C70" s="55">
        <v>873287.0</v>
      </c>
      <c r="D70" s="55" t="s">
        <v>20</v>
      </c>
      <c r="E70" s="56" t="s">
        <v>193</v>
      </c>
      <c r="F70" s="57">
        <v>40281.0</v>
      </c>
      <c r="G70" s="56">
        <v>111.0</v>
      </c>
      <c r="H70" s="58">
        <v>0.0032434778369108</v>
      </c>
      <c r="I70" s="59">
        <v>8.91203703703704E-4</v>
      </c>
      <c r="J70" s="59">
        <v>0.024837962962963</v>
      </c>
      <c r="K70" s="59">
        <v>0.370115740740741</v>
      </c>
      <c r="L70" s="56">
        <v>2.0</v>
      </c>
      <c r="M70" s="56">
        <v>4.0</v>
      </c>
      <c r="N70" s="60">
        <v>0.0</v>
      </c>
      <c r="O70" s="61">
        <v>0.927927927927928</v>
      </c>
      <c r="P70" s="60">
        <v>0.970873786407767</v>
      </c>
      <c r="Q70" s="62">
        <f>IFERROR(__xludf.DUMMYFUNCTION("""COMPUTED_VALUE"""),105.0)</f>
        <v>105</v>
      </c>
    </row>
    <row r="71" ht="12.75" customHeight="1">
      <c r="A71" s="54" t="s">
        <v>235</v>
      </c>
      <c r="B71" s="54" t="s">
        <v>183</v>
      </c>
      <c r="C71" s="55">
        <v>876233.0</v>
      </c>
      <c r="D71" s="55" t="s">
        <v>28</v>
      </c>
      <c r="E71" s="56" t="s">
        <v>181</v>
      </c>
      <c r="F71" s="57">
        <v>40281.0</v>
      </c>
      <c r="G71" s="56">
        <v>107.0</v>
      </c>
      <c r="H71" s="58">
        <v>0.0039309665446865</v>
      </c>
      <c r="I71" s="59">
        <v>0.00709490740740741</v>
      </c>
      <c r="J71" s="59">
        <v>0.0306365740740741</v>
      </c>
      <c r="K71" s="59">
        <v>0.312824074074074</v>
      </c>
      <c r="L71" s="56">
        <v>1.0</v>
      </c>
      <c r="M71" s="56">
        <v>5.0</v>
      </c>
      <c r="N71" s="60">
        <v>0.5</v>
      </c>
      <c r="O71" s="61">
        <v>1.0</v>
      </c>
      <c r="P71" s="60">
        <v>0.97196261682243</v>
      </c>
      <c r="Q71" s="62">
        <f>IFERROR(__xludf.DUMMYFUNCTION("""COMPUTED_VALUE"""),76.0)</f>
        <v>76</v>
      </c>
    </row>
    <row r="72" ht="12.75" customHeight="1">
      <c r="A72" s="54" t="s">
        <v>236</v>
      </c>
      <c r="B72" s="54" t="s">
        <v>183</v>
      </c>
      <c r="C72" s="55">
        <v>876328.0</v>
      </c>
      <c r="D72" s="55" t="s">
        <v>29</v>
      </c>
      <c r="E72" s="56" t="s">
        <v>181</v>
      </c>
      <c r="F72" s="57">
        <v>40281.0</v>
      </c>
      <c r="G72" s="56">
        <v>184.0</v>
      </c>
      <c r="H72" s="58">
        <v>0.00253690972995856</v>
      </c>
      <c r="I72" s="59">
        <v>0.00888888888888889</v>
      </c>
      <c r="J72" s="59">
        <v>0.029375</v>
      </c>
      <c r="K72" s="59">
        <v>0.371597222222222</v>
      </c>
      <c r="L72" s="56">
        <v>2.0</v>
      </c>
      <c r="M72" s="56">
        <v>9.0</v>
      </c>
      <c r="N72" s="60">
        <v>1.0</v>
      </c>
      <c r="O72" s="61">
        <v>0.994565217391304</v>
      </c>
      <c r="P72" s="60">
        <v>0.989071038251366</v>
      </c>
      <c r="Q72" s="62">
        <f>IFERROR(__xludf.DUMMYFUNCTION("""COMPUTED_VALUE"""),31.0)</f>
        <v>31</v>
      </c>
    </row>
    <row r="73" ht="12.75" customHeight="1">
      <c r="A73" s="54" t="s">
        <v>237</v>
      </c>
      <c r="B73" s="54" t="s">
        <v>183</v>
      </c>
      <c r="C73" s="55">
        <v>873237.0</v>
      </c>
      <c r="D73" s="55" t="s">
        <v>20</v>
      </c>
      <c r="E73" s="56" t="s">
        <v>184</v>
      </c>
      <c r="F73" s="57">
        <v>40281.0</v>
      </c>
      <c r="G73" s="56">
        <v>141.0</v>
      </c>
      <c r="H73" s="58">
        <v>0.00204434260173727</v>
      </c>
      <c r="I73" s="59">
        <v>1.50462962962963E-4</v>
      </c>
      <c r="J73" s="59">
        <v>0.0374768518518519</v>
      </c>
      <c r="K73" s="59">
        <v>0.36130787037037</v>
      </c>
      <c r="L73" s="56">
        <v>3.0</v>
      </c>
      <c r="M73" s="56">
        <v>3.0</v>
      </c>
      <c r="N73" s="60">
        <v>1.0</v>
      </c>
      <c r="O73" s="61">
        <v>1.29787234042553</v>
      </c>
      <c r="P73" s="60">
        <v>0.983606557377049</v>
      </c>
      <c r="Q73" s="62">
        <f>IFERROR(__xludf.DUMMYFUNCTION("""COMPUTED_VALUE"""),37.0)</f>
        <v>37</v>
      </c>
    </row>
    <row r="74" ht="12.75" customHeight="1">
      <c r="A74" s="54" t="s">
        <v>238</v>
      </c>
      <c r="B74" s="54" t="s">
        <v>183</v>
      </c>
      <c r="C74" s="55">
        <v>873083.0</v>
      </c>
      <c r="D74" s="55" t="s">
        <v>30</v>
      </c>
      <c r="E74" s="56" t="s">
        <v>184</v>
      </c>
      <c r="F74" s="57">
        <v>40281.0</v>
      </c>
      <c r="G74" s="56">
        <v>164.0</v>
      </c>
      <c r="H74" s="58">
        <v>0.00354819085863426</v>
      </c>
      <c r="I74" s="59">
        <v>0.0129513888888889</v>
      </c>
      <c r="J74" s="59">
        <v>0.0293518518518519</v>
      </c>
      <c r="K74" s="59">
        <v>0.389444444444444</v>
      </c>
      <c r="L74" s="56">
        <v>1.0</v>
      </c>
      <c r="M74" s="56">
        <v>9.0</v>
      </c>
      <c r="N74" s="60">
        <v>1.0</v>
      </c>
      <c r="O74" s="61">
        <v>0.432926829268293</v>
      </c>
      <c r="P74" s="60">
        <v>0.929577464788732</v>
      </c>
      <c r="Q74" s="62">
        <f>IFERROR(__xludf.DUMMYFUNCTION("""COMPUTED_VALUE"""),142.0)</f>
        <v>142</v>
      </c>
    </row>
    <row r="75" ht="12.75" customHeight="1">
      <c r="A75" s="54" t="s">
        <v>238</v>
      </c>
      <c r="B75" s="54" t="s">
        <v>183</v>
      </c>
      <c r="C75" s="55">
        <v>873083.0</v>
      </c>
      <c r="D75" s="55" t="s">
        <v>30</v>
      </c>
      <c r="E75" s="56" t="s">
        <v>184</v>
      </c>
      <c r="F75" s="57">
        <v>40281.0</v>
      </c>
      <c r="G75" s="56">
        <v>69.0</v>
      </c>
      <c r="H75" s="58">
        <v>0.0021297974056713</v>
      </c>
      <c r="I75" s="59">
        <v>7.06018518518519E-4</v>
      </c>
      <c r="J75" s="59">
        <v>0.0180787037037037</v>
      </c>
      <c r="K75" s="59">
        <v>0.165960648148148</v>
      </c>
      <c r="L75" s="56">
        <v>0.0</v>
      </c>
      <c r="M75" s="56">
        <v>1.0</v>
      </c>
      <c r="N75" s="60">
        <v>1.0</v>
      </c>
      <c r="O75" s="61">
        <v>1.02898550724638</v>
      </c>
      <c r="P75" s="60">
        <v>0.929577464788732</v>
      </c>
      <c r="Q75" s="62">
        <f>IFERROR(__xludf.DUMMYFUNCTION("""COMPUTED_VALUE"""),119.0)</f>
        <v>119</v>
      </c>
    </row>
    <row r="76" ht="12.75" customHeight="1">
      <c r="A76" s="54" t="s">
        <v>239</v>
      </c>
      <c r="B76" s="54" t="s">
        <v>183</v>
      </c>
      <c r="C76" s="55">
        <v>873232.0</v>
      </c>
      <c r="D76" s="55" t="s">
        <v>30</v>
      </c>
      <c r="E76" s="56" t="s">
        <v>184</v>
      </c>
      <c r="F76" s="57">
        <v>40281.0</v>
      </c>
      <c r="G76" s="56">
        <v>69.0</v>
      </c>
      <c r="H76" s="58">
        <v>8.53797594706019E-4</v>
      </c>
      <c r="I76" s="59">
        <v>2.31481481481481E-5</v>
      </c>
      <c r="J76" s="59">
        <v>0.0258796296296296</v>
      </c>
      <c r="K76" s="59">
        <v>0.105208333333333</v>
      </c>
      <c r="L76" s="56">
        <v>1.0</v>
      </c>
      <c r="M76" s="56">
        <v>1.0</v>
      </c>
      <c r="N76" s="60"/>
      <c r="O76" s="61">
        <v>0.347826086956522</v>
      </c>
      <c r="P76" s="60">
        <v>1.0</v>
      </c>
      <c r="Q76" s="62">
        <f>IFERROR(__xludf.DUMMYFUNCTION("""COMPUTED_VALUE"""),94.0)</f>
        <v>94</v>
      </c>
    </row>
    <row r="77" ht="12.75" customHeight="1">
      <c r="A77" s="54" t="s">
        <v>91</v>
      </c>
      <c r="B77" s="54" t="s">
        <v>183</v>
      </c>
      <c r="C77" s="55">
        <v>873288.0</v>
      </c>
      <c r="D77" s="55" t="s">
        <v>19</v>
      </c>
      <c r="E77" s="56" t="s">
        <v>193</v>
      </c>
      <c r="F77" s="57">
        <v>40281.0</v>
      </c>
      <c r="G77" s="56">
        <v>180.0</v>
      </c>
      <c r="H77" s="58">
        <v>0.00173765429744213</v>
      </c>
      <c r="I77" s="59">
        <v>0.0</v>
      </c>
      <c r="J77" s="59">
        <v>0.0284606481481481</v>
      </c>
      <c r="K77" s="59">
        <v>0.34619212962963</v>
      </c>
      <c r="L77" s="56">
        <v>0.0</v>
      </c>
      <c r="M77" s="56">
        <v>0.0</v>
      </c>
      <c r="N77" s="60">
        <v>1.0</v>
      </c>
      <c r="O77" s="61">
        <v>0.994444444444444</v>
      </c>
      <c r="P77" s="60">
        <v>0.932960893854749</v>
      </c>
      <c r="Q77" s="62">
        <f>IFERROR(__xludf.DUMMYFUNCTION("""COMPUTED_VALUE"""),63.0)</f>
        <v>63</v>
      </c>
    </row>
    <row r="78" ht="12.75" customHeight="1">
      <c r="A78" s="54" t="s">
        <v>240</v>
      </c>
      <c r="B78" s="54" t="s">
        <v>183</v>
      </c>
      <c r="C78" s="55">
        <v>873294.0</v>
      </c>
      <c r="D78" s="55" t="s">
        <v>20</v>
      </c>
      <c r="E78" s="56" t="s">
        <v>193</v>
      </c>
      <c r="F78" s="57">
        <v>40281.0</v>
      </c>
      <c r="G78" s="56">
        <v>126.0</v>
      </c>
      <c r="H78" s="58">
        <v>0.00266516014381944</v>
      </c>
      <c r="I78" s="59">
        <v>5.43981481481482E-4</v>
      </c>
      <c r="J78" s="59">
        <v>0.00944444444444444</v>
      </c>
      <c r="K78" s="59">
        <v>0.314513888888889</v>
      </c>
      <c r="L78" s="56">
        <v>0.0</v>
      </c>
      <c r="M78" s="56">
        <v>2.0</v>
      </c>
      <c r="N78" s="60">
        <v>0.5</v>
      </c>
      <c r="O78" s="61">
        <v>1.36507936507937</v>
      </c>
      <c r="P78" s="60">
        <v>0.953488372093023</v>
      </c>
      <c r="Q78" s="62">
        <f>IFERROR(__xludf.DUMMYFUNCTION("""COMPUTED_VALUE"""),91.0)</f>
        <v>91</v>
      </c>
    </row>
    <row r="79" ht="12.75" customHeight="1">
      <c r="A79" s="54" t="s">
        <v>241</v>
      </c>
      <c r="B79" s="54" t="s">
        <v>183</v>
      </c>
      <c r="C79" s="55">
        <v>876352.0</v>
      </c>
      <c r="D79" s="55" t="s">
        <v>30</v>
      </c>
      <c r="E79" s="56" t="s">
        <v>181</v>
      </c>
      <c r="F79" s="57">
        <v>40281.0</v>
      </c>
      <c r="G79" s="56">
        <v>111.0</v>
      </c>
      <c r="H79" s="58">
        <v>0.00169909494894676</v>
      </c>
      <c r="I79" s="59">
        <v>1.50462962962963E-4</v>
      </c>
      <c r="J79" s="59">
        <v>0.0196759259259259</v>
      </c>
      <c r="K79" s="59">
        <v>0.198298611111111</v>
      </c>
      <c r="L79" s="56">
        <v>0.0</v>
      </c>
      <c r="M79" s="56">
        <v>1.0</v>
      </c>
      <c r="N79" s="60">
        <v>1.0</v>
      </c>
      <c r="O79" s="61">
        <v>0.963963963963964</v>
      </c>
      <c r="P79" s="60">
        <v>0.934579439252336</v>
      </c>
      <c r="Q79" s="62">
        <f>IFERROR(__xludf.DUMMYFUNCTION("""COMPUTED_VALUE"""),234.0)</f>
        <v>234</v>
      </c>
    </row>
    <row r="80" ht="12.75" customHeight="1">
      <c r="A80" s="54" t="s">
        <v>242</v>
      </c>
      <c r="B80" s="54" t="s">
        <v>183</v>
      </c>
      <c r="C80" s="55">
        <v>873208.0</v>
      </c>
      <c r="D80" s="55" t="s">
        <v>23</v>
      </c>
      <c r="E80" s="56" t="s">
        <v>184</v>
      </c>
      <c r="F80" s="57">
        <v>40281.0</v>
      </c>
      <c r="G80" s="56">
        <v>189.0</v>
      </c>
      <c r="H80" s="58">
        <v>0.00133727901511366</v>
      </c>
      <c r="I80" s="59">
        <v>0.00465277777777778</v>
      </c>
      <c r="J80" s="59">
        <v>0.0305092592592593</v>
      </c>
      <c r="K80" s="59">
        <v>0.317002314814815</v>
      </c>
      <c r="L80" s="56">
        <v>0.0</v>
      </c>
      <c r="M80" s="56">
        <v>13.0</v>
      </c>
      <c r="N80" s="60"/>
      <c r="O80" s="61">
        <v>0.857142857142857</v>
      </c>
      <c r="P80" s="60">
        <v>1.0</v>
      </c>
      <c r="Q80" s="62">
        <f>IFERROR(__xludf.DUMMYFUNCTION("""COMPUTED_VALUE"""),157.0)</f>
        <v>157</v>
      </c>
    </row>
    <row r="81" ht="12.75" customHeight="1">
      <c r="A81" s="54" t="s">
        <v>242</v>
      </c>
      <c r="B81" s="54" t="s">
        <v>183</v>
      </c>
      <c r="C81" s="55">
        <v>873208.0</v>
      </c>
      <c r="D81" s="55" t="s">
        <v>23</v>
      </c>
      <c r="E81" s="56" t="s">
        <v>184</v>
      </c>
      <c r="F81" s="57">
        <v>40281.0</v>
      </c>
      <c r="G81" s="56">
        <v>52.0</v>
      </c>
      <c r="H81" s="58">
        <v>0.00170561790466435</v>
      </c>
      <c r="I81" s="59">
        <v>0.00140046296296296</v>
      </c>
      <c r="J81" s="59">
        <v>0.0205208333333333</v>
      </c>
      <c r="K81" s="59">
        <v>0.11380787037037</v>
      </c>
      <c r="L81" s="56">
        <v>1.0</v>
      </c>
      <c r="M81" s="56">
        <v>4.0</v>
      </c>
      <c r="N81" s="60"/>
      <c r="O81" s="61">
        <v>3.11538461538462</v>
      </c>
      <c r="P81" s="60">
        <v>1.0</v>
      </c>
      <c r="Q81" s="62">
        <f>IFERROR(__xludf.DUMMYFUNCTION("""COMPUTED_VALUE"""),175.0)</f>
        <v>175</v>
      </c>
    </row>
    <row r="82" ht="12.75" customHeight="1">
      <c r="A82" s="54" t="s">
        <v>92</v>
      </c>
      <c r="B82" s="54" t="s">
        <v>183</v>
      </c>
      <c r="C82" s="55">
        <v>876382.0</v>
      </c>
      <c r="D82" s="55" t="s">
        <v>19</v>
      </c>
      <c r="E82" s="56" t="s">
        <v>181</v>
      </c>
      <c r="F82" s="57">
        <v>40281.0</v>
      </c>
      <c r="G82" s="56">
        <v>271.0</v>
      </c>
      <c r="H82" s="58">
        <v>9.64790891717593E-4</v>
      </c>
      <c r="I82" s="59">
        <v>9.25925925925926E-5</v>
      </c>
      <c r="J82" s="59">
        <v>0.0230324074074074</v>
      </c>
      <c r="K82" s="59">
        <v>0.380196759259259</v>
      </c>
      <c r="L82" s="56">
        <v>4.0</v>
      </c>
      <c r="M82" s="56">
        <v>4.0</v>
      </c>
      <c r="N82" s="60">
        <v>1.0</v>
      </c>
      <c r="O82" s="61">
        <v>0.915129151291513</v>
      </c>
      <c r="P82" s="60">
        <v>0.995967741935484</v>
      </c>
      <c r="Q82" s="62">
        <f>IFERROR(__xludf.DUMMYFUNCTION("""COMPUTED_VALUE"""),207.0)</f>
        <v>207</v>
      </c>
    </row>
    <row r="83" ht="12.75" customHeight="1">
      <c r="A83" s="54" t="s">
        <v>243</v>
      </c>
      <c r="B83" s="54" t="s">
        <v>183</v>
      </c>
      <c r="C83" s="55">
        <v>876471.0</v>
      </c>
      <c r="D83" s="55" t="s">
        <v>28</v>
      </c>
      <c r="E83" s="56" t="s">
        <v>203</v>
      </c>
      <c r="F83" s="57">
        <v>40281.0</v>
      </c>
      <c r="G83" s="56">
        <v>105.0</v>
      </c>
      <c r="H83" s="58">
        <v>0.00390382364943623</v>
      </c>
      <c r="I83" s="59">
        <v>0.0352083333333333</v>
      </c>
      <c r="J83" s="59">
        <v>0.0311689814814815</v>
      </c>
      <c r="K83" s="59">
        <v>0.396990740740741</v>
      </c>
      <c r="L83" s="56">
        <v>0.0</v>
      </c>
      <c r="M83" s="56">
        <v>41.0</v>
      </c>
      <c r="N83" s="60">
        <v>0.666666666666667</v>
      </c>
      <c r="O83" s="61">
        <v>1.05714285714286</v>
      </c>
      <c r="P83" s="60">
        <v>0.972972972972973</v>
      </c>
      <c r="Q83" s="62">
        <f>IFERROR(__xludf.DUMMYFUNCTION("""COMPUTED_VALUE"""),48.0)</f>
        <v>48</v>
      </c>
    </row>
    <row r="84" ht="12.75" customHeight="1">
      <c r="A84" s="54" t="s">
        <v>244</v>
      </c>
      <c r="B84" s="54" t="s">
        <v>183</v>
      </c>
      <c r="C84" s="55">
        <v>873101.0</v>
      </c>
      <c r="D84" s="55" t="s">
        <v>32</v>
      </c>
      <c r="E84" s="56" t="s">
        <v>184</v>
      </c>
      <c r="F84" s="57">
        <v>40281.0</v>
      </c>
      <c r="G84" s="56">
        <v>76.0</v>
      </c>
      <c r="H84" s="58">
        <v>0.00158991230858796</v>
      </c>
      <c r="I84" s="59">
        <v>8.10185185185185E-5</v>
      </c>
      <c r="J84" s="59">
        <v>0.0321990740740741</v>
      </c>
      <c r="K84" s="59">
        <v>0.359212962962963</v>
      </c>
      <c r="L84" s="56">
        <v>2.0</v>
      </c>
      <c r="M84" s="56">
        <v>2.0</v>
      </c>
      <c r="N84" s="60">
        <v>0.75</v>
      </c>
      <c r="O84" s="61">
        <v>1.67105263157895</v>
      </c>
      <c r="P84" s="60">
        <v>0.976377952755906</v>
      </c>
      <c r="Q84" s="62">
        <f>IFERROR(__xludf.DUMMYFUNCTION("""COMPUTED_VALUE"""),209.0)</f>
        <v>209</v>
      </c>
    </row>
    <row r="85" ht="12.75" customHeight="1">
      <c r="A85" s="54" t="s">
        <v>245</v>
      </c>
      <c r="B85" s="54" t="s">
        <v>183</v>
      </c>
      <c r="C85" s="55">
        <v>873226.0</v>
      </c>
      <c r="D85" s="55" t="s">
        <v>30</v>
      </c>
      <c r="E85" s="56" t="s">
        <v>184</v>
      </c>
      <c r="F85" s="57">
        <v>40281.0</v>
      </c>
      <c r="G85" s="56">
        <v>31.0</v>
      </c>
      <c r="H85" s="58">
        <v>0.00193921742615741</v>
      </c>
      <c r="I85" s="59">
        <v>0.0</v>
      </c>
      <c r="J85" s="59">
        <v>0.0275925925925926</v>
      </c>
      <c r="K85" s="59">
        <v>0.181099537037037</v>
      </c>
      <c r="L85" s="56">
        <v>0.0</v>
      </c>
      <c r="M85" s="56">
        <v>0.0</v>
      </c>
      <c r="N85" s="60"/>
      <c r="O85" s="61">
        <v>1.90322580645161</v>
      </c>
      <c r="P85" s="60">
        <v>0.983050847457627</v>
      </c>
      <c r="Q85" s="62">
        <f>IFERROR(__xludf.DUMMYFUNCTION("""COMPUTED_VALUE"""),160.0)</f>
        <v>160</v>
      </c>
    </row>
    <row r="86" ht="12.75" customHeight="1">
      <c r="A86" s="54" t="s">
        <v>246</v>
      </c>
      <c r="B86" s="54" t="s">
        <v>183</v>
      </c>
      <c r="C86" s="55">
        <v>873296.0</v>
      </c>
      <c r="D86" s="55" t="s">
        <v>30</v>
      </c>
      <c r="E86" s="56" t="s">
        <v>193</v>
      </c>
      <c r="F86" s="57">
        <v>40281.0</v>
      </c>
      <c r="G86" s="56">
        <v>141.0</v>
      </c>
      <c r="H86" s="58">
        <v>0.00251087630236111</v>
      </c>
      <c r="I86" s="59">
        <v>9.25925925925926E-5</v>
      </c>
      <c r="J86" s="59">
        <v>0.0305787037037037</v>
      </c>
      <c r="K86" s="59">
        <v>0.385208333333333</v>
      </c>
      <c r="L86" s="56">
        <v>2.0</v>
      </c>
      <c r="M86" s="56">
        <v>2.0</v>
      </c>
      <c r="N86" s="60">
        <v>0.833333333333333</v>
      </c>
      <c r="O86" s="61">
        <v>0.815602836879433</v>
      </c>
      <c r="P86" s="60">
        <v>0.921739130434783</v>
      </c>
      <c r="Q86" s="62">
        <f>IFERROR(__xludf.DUMMYFUNCTION("""COMPUTED_VALUE"""),124.0)</f>
        <v>124</v>
      </c>
    </row>
    <row r="87" ht="12.75" customHeight="1">
      <c r="A87" s="54" t="s">
        <v>247</v>
      </c>
      <c r="B87" s="54" t="s">
        <v>183</v>
      </c>
      <c r="C87" s="55">
        <v>876434.0</v>
      </c>
      <c r="D87" s="55" t="s">
        <v>23</v>
      </c>
      <c r="E87" s="56" t="e">
        <v>#N/A</v>
      </c>
      <c r="F87" s="57">
        <v>40281.0</v>
      </c>
      <c r="G87" s="56">
        <v>37.0</v>
      </c>
      <c r="H87" s="58">
        <v>0.00458376654871991</v>
      </c>
      <c r="I87" s="59">
        <v>0.0147800925925926</v>
      </c>
      <c r="J87" s="59">
        <v>0.0186574074074074</v>
      </c>
      <c r="K87" s="59">
        <v>0.166458333333333</v>
      </c>
      <c r="L87" s="56">
        <v>1.0</v>
      </c>
      <c r="M87" s="56">
        <v>13.0</v>
      </c>
      <c r="N87" s="60">
        <v>0.75</v>
      </c>
      <c r="O87" s="61">
        <v>1.97297297297297</v>
      </c>
      <c r="P87" s="60">
        <v>0.931506849315068</v>
      </c>
      <c r="Q87" s="62">
        <f>IFERROR(__xludf.DUMMYFUNCTION("""COMPUTED_VALUE"""),122.0)</f>
        <v>122</v>
      </c>
    </row>
    <row r="88" ht="12.75" customHeight="1">
      <c r="A88" s="54" t="s">
        <v>248</v>
      </c>
      <c r="B88" s="54" t="s">
        <v>183</v>
      </c>
      <c r="C88" s="55">
        <v>873103.0</v>
      </c>
      <c r="D88" s="55" t="s">
        <v>21</v>
      </c>
      <c r="E88" s="56" t="s">
        <v>184</v>
      </c>
      <c r="F88" s="57">
        <v>40281.0</v>
      </c>
      <c r="G88" s="56">
        <v>223.0</v>
      </c>
      <c r="H88" s="58">
        <v>0.00159112090313438</v>
      </c>
      <c r="I88" s="59">
        <v>8.44907407407407E-4</v>
      </c>
      <c r="J88" s="59">
        <v>0.0299189814814815</v>
      </c>
      <c r="K88" s="59">
        <v>0.381851851851852</v>
      </c>
      <c r="L88" s="56">
        <v>2.0</v>
      </c>
      <c r="M88" s="56">
        <v>9.0</v>
      </c>
      <c r="N88" s="60">
        <v>0.888888888888889</v>
      </c>
      <c r="O88" s="61">
        <v>1.31838565022422</v>
      </c>
      <c r="P88" s="60">
        <v>0.986394557823129</v>
      </c>
      <c r="Q88" s="62">
        <f>IFERROR(__xludf.DUMMYFUNCTION("""COMPUTED_VALUE"""),195.0)</f>
        <v>195</v>
      </c>
    </row>
    <row r="89" ht="12.75" customHeight="1">
      <c r="A89" s="54" t="s">
        <v>249</v>
      </c>
      <c r="B89" s="54" t="s">
        <v>183</v>
      </c>
      <c r="C89" s="55">
        <v>876349.0</v>
      </c>
      <c r="D89" s="55" t="s">
        <v>29</v>
      </c>
      <c r="E89" s="56" t="s">
        <v>181</v>
      </c>
      <c r="F89" s="57">
        <v>40281.0</v>
      </c>
      <c r="G89" s="56">
        <v>142.0</v>
      </c>
      <c r="H89" s="58">
        <v>0.00296889667157292</v>
      </c>
      <c r="I89" s="59">
        <v>0.00326388888888889</v>
      </c>
      <c r="J89" s="59">
        <v>0.0348611111111111</v>
      </c>
      <c r="K89" s="59">
        <v>0.366319444444444</v>
      </c>
      <c r="L89" s="56">
        <v>1.0</v>
      </c>
      <c r="M89" s="56">
        <v>5.0</v>
      </c>
      <c r="N89" s="60">
        <v>0.666666666666667</v>
      </c>
      <c r="O89" s="61">
        <v>0.661971830985915</v>
      </c>
      <c r="P89" s="60">
        <v>0.893617021276596</v>
      </c>
      <c r="Q89" s="62">
        <f>IFERROR(__xludf.DUMMYFUNCTION("""COMPUTED_VALUE"""),53.0)</f>
        <v>53</v>
      </c>
    </row>
    <row r="90" ht="12.75" customHeight="1">
      <c r="A90" s="54" t="s">
        <v>250</v>
      </c>
      <c r="B90" s="54" t="s">
        <v>183</v>
      </c>
      <c r="C90" s="55">
        <v>876478.0</v>
      </c>
      <c r="D90" s="55" t="s">
        <v>20</v>
      </c>
      <c r="E90" s="56" t="s">
        <v>203</v>
      </c>
      <c r="F90" s="57">
        <v>40281.0</v>
      </c>
      <c r="G90" s="56">
        <v>125.0</v>
      </c>
      <c r="H90" s="58">
        <v>0.00265694441619213</v>
      </c>
      <c r="I90" s="59">
        <v>9.25925925925926E-5</v>
      </c>
      <c r="J90" s="59">
        <v>0.0343634259259259</v>
      </c>
      <c r="K90" s="59">
        <v>0.359270833333333</v>
      </c>
      <c r="L90" s="56">
        <v>1.0</v>
      </c>
      <c r="M90" s="56">
        <v>1.0</v>
      </c>
      <c r="N90" s="60">
        <v>0.857142857142857</v>
      </c>
      <c r="O90" s="61">
        <v>0.856</v>
      </c>
      <c r="P90" s="60">
        <v>0.91588785046729</v>
      </c>
      <c r="Q90" s="62">
        <f>IFERROR(__xludf.DUMMYFUNCTION("""COMPUTED_VALUE"""),260.0)</f>
        <v>260</v>
      </c>
    </row>
    <row r="91" ht="12.75" customHeight="1">
      <c r="A91" s="54" t="s">
        <v>251</v>
      </c>
      <c r="B91" s="54" t="s">
        <v>183</v>
      </c>
      <c r="C91" s="55">
        <v>876268.0</v>
      </c>
      <c r="D91" s="55" t="s">
        <v>23</v>
      </c>
      <c r="E91" s="56" t="e">
        <v>#N/A</v>
      </c>
      <c r="F91" s="57">
        <v>40281.0</v>
      </c>
      <c r="G91" s="56">
        <v>119.0</v>
      </c>
      <c r="H91" s="58">
        <v>0.00329818103600393</v>
      </c>
      <c r="I91" s="59">
        <v>0.0178819444444444</v>
      </c>
      <c r="J91" s="59">
        <v>0.0311689814814815</v>
      </c>
      <c r="K91" s="59">
        <v>0.333634259259259</v>
      </c>
      <c r="L91" s="56">
        <v>1.0</v>
      </c>
      <c r="M91" s="56">
        <v>19.0</v>
      </c>
      <c r="N91" s="60">
        <v>0.75</v>
      </c>
      <c r="O91" s="61">
        <v>1.11764705882353</v>
      </c>
      <c r="P91" s="60">
        <v>0.954887218045113</v>
      </c>
      <c r="Q91" s="62">
        <f>IFERROR(__xludf.DUMMYFUNCTION("""COMPUTED_VALUE"""),152.0)</f>
        <v>152</v>
      </c>
    </row>
    <row r="92" ht="12.75" customHeight="1">
      <c r="A92" s="54" t="s">
        <v>252</v>
      </c>
      <c r="B92" s="54" t="s">
        <v>183</v>
      </c>
      <c r="C92" s="55">
        <v>876329.0</v>
      </c>
      <c r="D92" s="55" t="s">
        <v>253</v>
      </c>
      <c r="E92" s="56" t="s">
        <v>181</v>
      </c>
      <c r="F92" s="57">
        <v>40281.0</v>
      </c>
      <c r="G92" s="56">
        <v>94.0</v>
      </c>
      <c r="H92" s="58">
        <v>0.00307260640311847</v>
      </c>
      <c r="I92" s="59">
        <v>0.021099537037037</v>
      </c>
      <c r="J92" s="59">
        <v>0.0288078703703704</v>
      </c>
      <c r="K92" s="59">
        <v>0.275219907407407</v>
      </c>
      <c r="L92" s="56">
        <v>0.0</v>
      </c>
      <c r="M92" s="56">
        <v>25.0</v>
      </c>
      <c r="N92" s="60">
        <v>1.0</v>
      </c>
      <c r="O92" s="61">
        <v>0.914893617021277</v>
      </c>
      <c r="P92" s="60">
        <v>0.965116279069767</v>
      </c>
      <c r="Q92" s="62">
        <f>IFERROR(__xludf.DUMMYFUNCTION("""COMPUTED_VALUE"""),59.0)</f>
        <v>59</v>
      </c>
    </row>
    <row r="93" ht="12.75" customHeight="1">
      <c r="A93" s="54" t="s">
        <v>254</v>
      </c>
      <c r="B93" s="54" t="s">
        <v>183</v>
      </c>
      <c r="C93" s="55">
        <v>876370.0</v>
      </c>
      <c r="D93" s="55" t="s">
        <v>21</v>
      </c>
      <c r="E93" s="56" t="s">
        <v>181</v>
      </c>
      <c r="F93" s="57">
        <v>40281.0</v>
      </c>
      <c r="G93" s="56">
        <v>63.0</v>
      </c>
      <c r="H93" s="58">
        <v>0.00270348323716319</v>
      </c>
      <c r="I93" s="59">
        <v>0.00278935185185185</v>
      </c>
      <c r="J93" s="59">
        <v>0.0416782407407407</v>
      </c>
      <c r="K93" s="59">
        <v>0.362847222222222</v>
      </c>
      <c r="L93" s="56">
        <v>0.0</v>
      </c>
      <c r="M93" s="56">
        <v>5.0</v>
      </c>
      <c r="N93" s="60"/>
      <c r="O93" s="61">
        <v>0.984126984126984</v>
      </c>
      <c r="P93" s="60">
        <v>0.983870967741935</v>
      </c>
      <c r="Q93" s="62">
        <f>IFERROR(__xludf.DUMMYFUNCTION("""COMPUTED_VALUE"""),116.0)</f>
        <v>116</v>
      </c>
    </row>
    <row r="94" ht="12.75" customHeight="1">
      <c r="A94" s="54" t="s">
        <v>255</v>
      </c>
      <c r="B94" s="54" t="s">
        <v>183</v>
      </c>
      <c r="C94" s="55">
        <v>873216.0</v>
      </c>
      <c r="D94" s="55" t="s">
        <v>30</v>
      </c>
      <c r="E94" s="56" t="s">
        <v>184</v>
      </c>
      <c r="F94" s="57">
        <v>40281.0</v>
      </c>
      <c r="G94" s="56">
        <v>70.0</v>
      </c>
      <c r="H94" s="58">
        <v>0.00128124996467593</v>
      </c>
      <c r="I94" s="59">
        <v>2.31481481481481E-5</v>
      </c>
      <c r="J94" s="59">
        <v>0.0242939814814815</v>
      </c>
      <c r="K94" s="59">
        <v>0.195462962962963</v>
      </c>
      <c r="L94" s="56">
        <v>0.0</v>
      </c>
      <c r="M94" s="56">
        <v>1.0</v>
      </c>
      <c r="N94" s="60"/>
      <c r="O94" s="61">
        <v>2.67142857142857</v>
      </c>
      <c r="P94" s="60">
        <v>1.0</v>
      </c>
      <c r="Q94" s="62">
        <f>IFERROR(__xludf.DUMMYFUNCTION("""COMPUTED_VALUE"""),74.0)</f>
        <v>74</v>
      </c>
    </row>
    <row r="95" ht="12.75" customHeight="1">
      <c r="A95" s="54" t="s">
        <v>256</v>
      </c>
      <c r="B95" s="54" t="s">
        <v>183</v>
      </c>
      <c r="C95" s="55">
        <v>873214.0</v>
      </c>
      <c r="D95" s="55" t="s">
        <v>23</v>
      </c>
      <c r="E95" s="56" t="s">
        <v>184</v>
      </c>
      <c r="F95" s="57">
        <v>40281.0</v>
      </c>
      <c r="G95" s="56">
        <v>91.0</v>
      </c>
      <c r="H95" s="58">
        <v>0.00375850126423507</v>
      </c>
      <c r="I95" s="59">
        <v>0.0423032407407407</v>
      </c>
      <c r="J95" s="59">
        <v>0.0399421296296296</v>
      </c>
      <c r="K95" s="59">
        <v>0.285763888888889</v>
      </c>
      <c r="L95" s="56">
        <v>1.0</v>
      </c>
      <c r="M95" s="56">
        <v>25.0</v>
      </c>
      <c r="N95" s="60"/>
      <c r="O95" s="61">
        <v>0.912087912087912</v>
      </c>
      <c r="P95" s="60">
        <v>0.975903614457831</v>
      </c>
      <c r="Q95" s="62">
        <f>IFERROR(__xludf.DUMMYFUNCTION("""COMPUTED_VALUE"""),128.0)</f>
        <v>128</v>
      </c>
    </row>
    <row r="96" ht="12.75" customHeight="1">
      <c r="A96" s="54" t="s">
        <v>93</v>
      </c>
      <c r="B96" s="54" t="s">
        <v>183</v>
      </c>
      <c r="C96" s="55">
        <v>873304.0</v>
      </c>
      <c r="D96" s="55" t="s">
        <v>19</v>
      </c>
      <c r="E96" s="56" t="s">
        <v>193</v>
      </c>
      <c r="F96" s="57">
        <v>40281.0</v>
      </c>
      <c r="G96" s="56">
        <v>111.0</v>
      </c>
      <c r="H96" s="58">
        <v>0.0025591216815787</v>
      </c>
      <c r="I96" s="59">
        <v>4.05092592592593E-4</v>
      </c>
      <c r="J96" s="59">
        <v>0.0298842592592593</v>
      </c>
      <c r="K96" s="59">
        <v>0.30681712962963</v>
      </c>
      <c r="L96" s="56">
        <v>2.0</v>
      </c>
      <c r="M96" s="56">
        <v>3.0</v>
      </c>
      <c r="N96" s="60">
        <v>1.0</v>
      </c>
      <c r="O96" s="61">
        <v>0.936936936936937</v>
      </c>
      <c r="P96" s="60">
        <v>0.971153846153846</v>
      </c>
      <c r="Q96" s="62">
        <f>IFERROR(__xludf.DUMMYFUNCTION("""COMPUTED_VALUE"""),158.0)</f>
        <v>158</v>
      </c>
    </row>
    <row r="97" ht="12.75" customHeight="1">
      <c r="A97" s="54" t="s">
        <v>257</v>
      </c>
      <c r="B97" s="54" t="s">
        <v>183</v>
      </c>
      <c r="C97" s="55">
        <v>873068.0</v>
      </c>
      <c r="D97" s="55" t="s">
        <v>32</v>
      </c>
      <c r="E97" s="56" t="s">
        <v>184</v>
      </c>
      <c r="F97" s="57">
        <v>40281.0</v>
      </c>
      <c r="G97" s="56">
        <v>234.0</v>
      </c>
      <c r="H97" s="58">
        <v>0.00138072764431713</v>
      </c>
      <c r="I97" s="59">
        <v>4.28240740740741E-4</v>
      </c>
      <c r="J97" s="59">
        <v>0.0290393518518519</v>
      </c>
      <c r="K97" s="59">
        <v>0.360150462962963</v>
      </c>
      <c r="L97" s="56">
        <v>0.0</v>
      </c>
      <c r="M97" s="56">
        <v>2.0</v>
      </c>
      <c r="N97" s="60">
        <v>1.0</v>
      </c>
      <c r="O97" s="61">
        <v>0.636752136752137</v>
      </c>
      <c r="P97" s="60">
        <v>0.973154362416107</v>
      </c>
      <c r="Q97" s="62">
        <f>IFERROR(__xludf.DUMMYFUNCTION("""COMPUTED_VALUE"""),287.0)</f>
        <v>287</v>
      </c>
    </row>
    <row r="98" ht="12.75" customHeight="1">
      <c r="A98" s="54" t="s">
        <v>11</v>
      </c>
      <c r="B98" s="54" t="s">
        <v>183</v>
      </c>
      <c r="C98" s="55">
        <v>873297.0</v>
      </c>
      <c r="D98" s="55" t="s">
        <v>19</v>
      </c>
      <c r="E98" s="56" t="s">
        <v>193</v>
      </c>
      <c r="F98" s="57">
        <v>40281.0</v>
      </c>
      <c r="G98" s="56">
        <v>157.0</v>
      </c>
      <c r="H98" s="58">
        <v>0.00283854917243982</v>
      </c>
      <c r="I98" s="59">
        <v>0.0127430555555556</v>
      </c>
      <c r="J98" s="59">
        <v>0.0315509259259259</v>
      </c>
      <c r="K98" s="59">
        <v>0.378472222222222</v>
      </c>
      <c r="L98" s="56">
        <v>4.0</v>
      </c>
      <c r="M98" s="56">
        <v>17.0</v>
      </c>
      <c r="N98" s="60">
        <v>0.5</v>
      </c>
      <c r="O98" s="61">
        <v>1.18471337579618</v>
      </c>
      <c r="P98" s="60">
        <v>0.951612903225806</v>
      </c>
      <c r="Q98" s="62">
        <f>IFERROR(__xludf.DUMMYFUNCTION("""COMPUTED_VALUE"""),229.0)</f>
        <v>229</v>
      </c>
    </row>
    <row r="99" ht="12.75" customHeight="1">
      <c r="A99" s="54" t="s">
        <v>258</v>
      </c>
      <c r="B99" s="54" t="s">
        <v>183</v>
      </c>
      <c r="C99" s="55">
        <v>873018.0</v>
      </c>
      <c r="D99" s="55" t="s">
        <v>27</v>
      </c>
      <c r="E99" s="56" t="s">
        <v>182</v>
      </c>
      <c r="F99" s="57">
        <v>40281.0</v>
      </c>
      <c r="G99" s="56">
        <v>175.0</v>
      </c>
      <c r="H99" s="58">
        <v>0.00214885905936343</v>
      </c>
      <c r="I99" s="59">
        <v>0.00517361111111111</v>
      </c>
      <c r="J99" s="59">
        <v>0.0149537037037037</v>
      </c>
      <c r="K99" s="59">
        <v>0.374178240740741</v>
      </c>
      <c r="L99" s="56">
        <v>1.0</v>
      </c>
      <c r="M99" s="56">
        <v>12.0</v>
      </c>
      <c r="N99" s="60">
        <v>0.833333333333333</v>
      </c>
      <c r="O99" s="61">
        <v>1.06285714285714</v>
      </c>
      <c r="P99" s="60">
        <v>0.951612903225806</v>
      </c>
      <c r="Q99" s="62">
        <f>IFERROR(__xludf.DUMMYFUNCTION("""COMPUTED_VALUE"""),113.0)</f>
        <v>113</v>
      </c>
    </row>
    <row r="100" ht="12.75" customHeight="1">
      <c r="A100" s="54" t="s">
        <v>259</v>
      </c>
      <c r="B100" s="54" t="s">
        <v>183</v>
      </c>
      <c r="C100" s="55">
        <v>873306.0</v>
      </c>
      <c r="D100" s="55" t="s">
        <v>29</v>
      </c>
      <c r="E100" s="56" t="s">
        <v>193</v>
      </c>
      <c r="F100" s="57">
        <v>40281.0</v>
      </c>
      <c r="G100" s="56">
        <v>206.0</v>
      </c>
      <c r="H100" s="58">
        <v>0.00214233856889823</v>
      </c>
      <c r="I100" s="59">
        <v>0.0025462962962963</v>
      </c>
      <c r="J100" s="59">
        <v>0.0279861111111111</v>
      </c>
      <c r="K100" s="59">
        <v>0.379212962962963</v>
      </c>
      <c r="L100" s="56">
        <v>1.0</v>
      </c>
      <c r="M100" s="56">
        <v>5.0</v>
      </c>
      <c r="N100" s="60">
        <v>0.8</v>
      </c>
      <c r="O100" s="61">
        <v>1.03398058252427</v>
      </c>
      <c r="P100" s="60">
        <v>0.929577464788732</v>
      </c>
      <c r="Q100" s="62">
        <f>IFERROR(__xludf.DUMMYFUNCTION("""COMPUTED_VALUE"""),25.0)</f>
        <v>25</v>
      </c>
    </row>
    <row r="101" ht="12.75" customHeight="1">
      <c r="A101" s="54" t="s">
        <v>9</v>
      </c>
      <c r="B101" s="54" t="s">
        <v>183</v>
      </c>
      <c r="C101" s="55">
        <v>876358.0</v>
      </c>
      <c r="D101" s="55" t="s">
        <v>19</v>
      </c>
      <c r="E101" s="56" t="s">
        <v>181</v>
      </c>
      <c r="F101" s="57">
        <v>40281.0</v>
      </c>
      <c r="G101" s="56">
        <v>207.0</v>
      </c>
      <c r="H101" s="58">
        <v>0.00182411877093287</v>
      </c>
      <c r="I101" s="59">
        <v>4.97685185185185E-4</v>
      </c>
      <c r="J101" s="59">
        <v>0.0291087962962963</v>
      </c>
      <c r="K101" s="59">
        <v>0.378935185185185</v>
      </c>
      <c r="L101" s="56">
        <v>1.0</v>
      </c>
      <c r="M101" s="56">
        <v>3.0</v>
      </c>
      <c r="N101" s="60">
        <v>0.875</v>
      </c>
      <c r="O101" s="61">
        <v>1.00966183574879</v>
      </c>
      <c r="P101" s="60">
        <v>0.966507177033493</v>
      </c>
      <c r="Q101" s="62">
        <f>IFERROR(__xludf.DUMMYFUNCTION("""COMPUTED_VALUE"""),117.0)</f>
        <v>117</v>
      </c>
    </row>
    <row r="102" ht="12.75" customHeight="1">
      <c r="A102" s="54" t="s">
        <v>260</v>
      </c>
      <c r="B102" s="54" t="s">
        <v>183</v>
      </c>
      <c r="C102" s="55">
        <v>876365.0</v>
      </c>
      <c r="D102" s="55" t="s">
        <v>20</v>
      </c>
      <c r="E102" s="56" t="s">
        <v>181</v>
      </c>
      <c r="F102" s="57">
        <v>40281.0</v>
      </c>
      <c r="G102" s="56">
        <v>171.0</v>
      </c>
      <c r="H102" s="58">
        <v>0.00326470114592893</v>
      </c>
      <c r="I102" s="59">
        <v>0.00675925925925926</v>
      </c>
      <c r="J102" s="59">
        <v>0.0328819444444444</v>
      </c>
      <c r="K102" s="59">
        <v>0.361875</v>
      </c>
      <c r="L102" s="56">
        <v>3.0</v>
      </c>
      <c r="M102" s="56">
        <v>6.0</v>
      </c>
      <c r="N102" s="60">
        <v>1.0</v>
      </c>
      <c r="O102" s="61">
        <v>1.42105263157895</v>
      </c>
      <c r="P102" s="60">
        <v>0.954732510288066</v>
      </c>
    </row>
    <row r="103" ht="12.75" customHeight="1">
      <c r="A103" s="54" t="s">
        <v>261</v>
      </c>
      <c r="B103" s="54" t="s">
        <v>183</v>
      </c>
      <c r="C103" s="55">
        <v>873060.0</v>
      </c>
      <c r="D103" s="55" t="s">
        <v>21</v>
      </c>
      <c r="E103" s="56" t="s">
        <v>184</v>
      </c>
      <c r="F103" s="57">
        <v>40281.0</v>
      </c>
      <c r="G103" s="56">
        <v>48.0</v>
      </c>
      <c r="H103" s="58">
        <v>0.00146460259402778</v>
      </c>
      <c r="I103" s="59">
        <v>9.25925925925926E-5</v>
      </c>
      <c r="J103" s="59">
        <v>0.016099537037037</v>
      </c>
      <c r="K103" s="59">
        <v>0.107199074074074</v>
      </c>
      <c r="L103" s="56">
        <v>1.0</v>
      </c>
      <c r="M103" s="56">
        <v>2.0</v>
      </c>
      <c r="N103" s="60"/>
      <c r="O103" s="61">
        <v>0.895833333333333</v>
      </c>
      <c r="P103" s="60">
        <v>0.976744186046512</v>
      </c>
    </row>
    <row r="104" ht="12.75" customHeight="1">
      <c r="A104" s="54" t="s">
        <v>94</v>
      </c>
      <c r="B104" s="54" t="s">
        <v>183</v>
      </c>
      <c r="C104" s="55">
        <v>876356.0</v>
      </c>
      <c r="D104" s="55" t="s">
        <v>19</v>
      </c>
      <c r="E104" s="56" t="s">
        <v>181</v>
      </c>
      <c r="F104" s="57">
        <v>40281.0</v>
      </c>
      <c r="G104" s="56">
        <v>209.0</v>
      </c>
      <c r="H104" s="58">
        <v>0.00113756353656458</v>
      </c>
      <c r="I104" s="59">
        <v>3.47222222222222E-4</v>
      </c>
      <c r="J104" s="59">
        <v>0.0320833333333333</v>
      </c>
      <c r="K104" s="59">
        <v>0.348020833333333</v>
      </c>
      <c r="L104" s="56">
        <v>3.0</v>
      </c>
      <c r="M104" s="56">
        <v>6.0</v>
      </c>
      <c r="N104" s="60"/>
      <c r="O104" s="61">
        <v>0.870813397129187</v>
      </c>
      <c r="P104" s="60">
        <v>0.989010989010989</v>
      </c>
    </row>
    <row r="105" ht="12.75" customHeight="1">
      <c r="A105" s="54" t="s">
        <v>262</v>
      </c>
      <c r="B105" s="54" t="s">
        <v>183</v>
      </c>
      <c r="C105" s="55">
        <v>876234.0</v>
      </c>
      <c r="D105" s="55" t="s">
        <v>23</v>
      </c>
      <c r="E105" s="56" t="s">
        <v>181</v>
      </c>
      <c r="F105" s="57">
        <v>40281.0</v>
      </c>
      <c r="G105" s="56">
        <v>160.0</v>
      </c>
      <c r="H105" s="58">
        <v>0.002021924941625</v>
      </c>
      <c r="I105" s="59">
        <v>0.00384259259259259</v>
      </c>
      <c r="J105" s="59">
        <v>0.0234259259259259</v>
      </c>
      <c r="K105" s="59">
        <v>0.308680555555556</v>
      </c>
      <c r="L105" s="56">
        <v>1.0</v>
      </c>
      <c r="M105" s="56">
        <v>11.0</v>
      </c>
      <c r="N105" s="60">
        <v>1.0</v>
      </c>
      <c r="O105" s="61">
        <v>0.65625</v>
      </c>
      <c r="P105" s="60">
        <v>1.0</v>
      </c>
    </row>
    <row r="106" ht="12.75" customHeight="1">
      <c r="A106" s="54" t="s">
        <v>263</v>
      </c>
      <c r="B106" s="54" t="s">
        <v>183</v>
      </c>
      <c r="C106" s="55">
        <v>876479.0</v>
      </c>
      <c r="D106" s="55" t="s">
        <v>20</v>
      </c>
      <c r="E106" s="56" t="s">
        <v>203</v>
      </c>
      <c r="F106" s="57">
        <v>40281.0</v>
      </c>
      <c r="G106" s="56">
        <v>124.0</v>
      </c>
      <c r="H106" s="58">
        <v>0.00294544010250926</v>
      </c>
      <c r="I106" s="59">
        <v>0.0050462962962963</v>
      </c>
      <c r="J106" s="59">
        <v>4.62962962962963E-4</v>
      </c>
      <c r="K106" s="59">
        <v>0.333356481481482</v>
      </c>
      <c r="L106" s="56">
        <v>0.0</v>
      </c>
      <c r="M106" s="56">
        <v>15.0</v>
      </c>
      <c r="N106" s="60">
        <v>1.0</v>
      </c>
      <c r="O106" s="61">
        <v>0.92741935483871</v>
      </c>
      <c r="P106" s="60">
        <v>0.973913043478261</v>
      </c>
    </row>
    <row r="107" ht="12.75" customHeight="1">
      <c r="A107" s="54" t="s">
        <v>264</v>
      </c>
      <c r="B107" s="54" t="s">
        <v>183</v>
      </c>
      <c r="C107" s="55">
        <v>872694.0</v>
      </c>
      <c r="D107" s="55" t="s">
        <v>31</v>
      </c>
      <c r="E107" s="56" t="s">
        <v>184</v>
      </c>
      <c r="F107" s="57">
        <v>40281.0</v>
      </c>
      <c r="G107" s="56">
        <v>122.0</v>
      </c>
      <c r="H107" s="58">
        <v>0.00213351920798611</v>
      </c>
      <c r="I107" s="59">
        <v>1.50462962962963E-4</v>
      </c>
      <c r="J107" s="59">
        <v>0.0523032407407407</v>
      </c>
      <c r="K107" s="59">
        <v>0.368831018518519</v>
      </c>
      <c r="L107" s="56">
        <v>2.0</v>
      </c>
      <c r="M107" s="56">
        <v>2.0</v>
      </c>
      <c r="N107" s="60">
        <v>1.0</v>
      </c>
      <c r="O107" s="61">
        <v>1.13114754098361</v>
      </c>
      <c r="P107" s="60">
        <v>0.978260869565217</v>
      </c>
    </row>
    <row r="108" ht="12.75" customHeight="1">
      <c r="A108" s="54" t="s">
        <v>265</v>
      </c>
      <c r="B108" s="54" t="s">
        <v>183</v>
      </c>
      <c r="C108" s="55">
        <v>873061.0</v>
      </c>
      <c r="D108" s="55" t="s">
        <v>32</v>
      </c>
      <c r="E108" s="56" t="s">
        <v>184</v>
      </c>
      <c r="F108" s="57">
        <v>40281.0</v>
      </c>
      <c r="G108" s="56">
        <v>182.0</v>
      </c>
      <c r="H108" s="58">
        <v>0.00243645715287228</v>
      </c>
      <c r="I108" s="59">
        <v>0.00189814814814815</v>
      </c>
      <c r="J108" s="59">
        <v>0.0298842592592593</v>
      </c>
      <c r="K108" s="59">
        <v>0.378981481481482</v>
      </c>
      <c r="L108" s="56">
        <v>3.0</v>
      </c>
      <c r="M108" s="56">
        <v>5.0</v>
      </c>
      <c r="N108" s="60">
        <v>0.888888888888889</v>
      </c>
      <c r="O108" s="61">
        <v>1.01648351648352</v>
      </c>
      <c r="P108" s="60">
        <v>0.978378378378378</v>
      </c>
    </row>
    <row r="109" ht="12.75" customHeight="1">
      <c r="A109" s="54" t="s">
        <v>266</v>
      </c>
      <c r="B109" s="54" t="s">
        <v>183</v>
      </c>
      <c r="C109" s="55">
        <v>873008.0</v>
      </c>
      <c r="D109" s="55" t="s">
        <v>21</v>
      </c>
      <c r="E109" s="56" t="s">
        <v>184</v>
      </c>
      <c r="F109" s="57">
        <v>40281.0</v>
      </c>
      <c r="G109" s="56">
        <v>195.0</v>
      </c>
      <c r="H109" s="58">
        <v>0.00167171172245532</v>
      </c>
      <c r="I109" s="59">
        <v>9.60648148148148E-4</v>
      </c>
      <c r="J109" s="59">
        <v>0.0318865740740741</v>
      </c>
      <c r="K109" s="59">
        <v>0.366550925925926</v>
      </c>
      <c r="L109" s="56">
        <v>1.0</v>
      </c>
      <c r="M109" s="56">
        <v>6.0</v>
      </c>
      <c r="N109" s="60">
        <v>0.666666666666667</v>
      </c>
      <c r="O109" s="61">
        <v>0.907692307692308</v>
      </c>
      <c r="P109" s="60">
        <v>0.988700564971751</v>
      </c>
    </row>
    <row r="110" ht="12.75" customHeight="1">
      <c r="A110" s="54" t="s">
        <v>267</v>
      </c>
      <c r="B110" s="54" t="s">
        <v>183</v>
      </c>
      <c r="C110" s="55">
        <v>873062.0</v>
      </c>
      <c r="D110" s="55" t="s">
        <v>27</v>
      </c>
      <c r="E110" s="56" t="s">
        <v>184</v>
      </c>
      <c r="F110" s="57">
        <v>40281.0</v>
      </c>
      <c r="G110" s="56">
        <v>165.0</v>
      </c>
      <c r="H110" s="58">
        <v>0.00206937424609888</v>
      </c>
      <c r="I110" s="59">
        <v>3.47222222222222E-5</v>
      </c>
      <c r="J110" s="59">
        <v>0.0314583333333333</v>
      </c>
      <c r="K110" s="59">
        <v>0.376481481481481</v>
      </c>
      <c r="L110" s="56">
        <v>1.0</v>
      </c>
      <c r="M110" s="56">
        <v>1.0</v>
      </c>
      <c r="N110" s="60">
        <v>0.8</v>
      </c>
      <c r="O110" s="61">
        <v>1.06060606060606</v>
      </c>
      <c r="P110" s="60">
        <v>0.988571428571429</v>
      </c>
    </row>
    <row r="111" ht="12.75" customHeight="1">
      <c r="A111" s="54" t="s">
        <v>268</v>
      </c>
      <c r="B111" s="54" t="s">
        <v>183</v>
      </c>
      <c r="C111" s="55">
        <v>876404.0</v>
      </c>
      <c r="D111" s="55" t="s">
        <v>28</v>
      </c>
      <c r="E111" s="56" t="s">
        <v>193</v>
      </c>
      <c r="F111" s="57">
        <v>40281.0</v>
      </c>
      <c r="G111" s="56">
        <v>53.0</v>
      </c>
      <c r="H111" s="58">
        <v>0.00553891499837269</v>
      </c>
      <c r="I111" s="59">
        <v>0.011099537037037</v>
      </c>
      <c r="J111" s="59">
        <v>0.0244560185185185</v>
      </c>
      <c r="K111" s="59">
        <v>0.315532407407407</v>
      </c>
      <c r="L111" s="56">
        <v>2.0</v>
      </c>
      <c r="M111" s="56">
        <v>10.0</v>
      </c>
      <c r="N111" s="60">
        <v>1.0</v>
      </c>
      <c r="O111" s="61">
        <v>1.39622641509434</v>
      </c>
      <c r="P111" s="60">
        <v>0.959459459459459</v>
      </c>
    </row>
    <row r="112" ht="12.75" customHeight="1">
      <c r="A112" s="54" t="s">
        <v>269</v>
      </c>
      <c r="B112" s="54" t="s">
        <v>183</v>
      </c>
      <c r="C112" s="55">
        <v>879911.0</v>
      </c>
      <c r="D112" s="55" t="s">
        <v>29</v>
      </c>
      <c r="E112" s="56" t="s">
        <v>181</v>
      </c>
      <c r="F112" s="57">
        <v>40281.0</v>
      </c>
      <c r="G112" s="56">
        <v>260.0</v>
      </c>
      <c r="H112" s="58">
        <v>0.00144323265060164</v>
      </c>
      <c r="I112" s="59">
        <v>6.01851851851852E-4</v>
      </c>
      <c r="J112" s="59">
        <v>0.0279861111111111</v>
      </c>
      <c r="K112" s="59">
        <v>0.376400462962963</v>
      </c>
      <c r="L112" s="56">
        <v>7.0</v>
      </c>
      <c r="M112" s="56">
        <v>9.0</v>
      </c>
      <c r="N112" s="60">
        <v>0.875</v>
      </c>
      <c r="O112" s="61">
        <v>0.938461538461538</v>
      </c>
      <c r="P112" s="60">
        <v>0.959016393442623</v>
      </c>
    </row>
    <row r="113" ht="12.75" customHeight="1">
      <c r="A113" s="54" t="s">
        <v>270</v>
      </c>
      <c r="B113" s="54" t="s">
        <v>183</v>
      </c>
      <c r="C113" s="55">
        <v>873300.0</v>
      </c>
      <c r="D113" s="55" t="s">
        <v>32</v>
      </c>
      <c r="E113" s="56" t="s">
        <v>193</v>
      </c>
      <c r="F113" s="57">
        <v>40281.0</v>
      </c>
      <c r="G113" s="56">
        <v>152.0</v>
      </c>
      <c r="H113" s="58">
        <v>0.00231420569950231</v>
      </c>
      <c r="I113" s="59">
        <v>4.51388888888889E-4</v>
      </c>
      <c r="J113" s="59">
        <v>0.0298032407407407</v>
      </c>
      <c r="K113" s="59">
        <v>0.382986111111111</v>
      </c>
      <c r="L113" s="56">
        <v>3.0</v>
      </c>
      <c r="M113" s="56">
        <v>4.0</v>
      </c>
      <c r="N113" s="60">
        <v>1.0</v>
      </c>
      <c r="O113" s="61">
        <v>1.04605263157895</v>
      </c>
      <c r="P113" s="60">
        <v>0.981132075471698</v>
      </c>
    </row>
    <row r="114" ht="12.75" customHeight="1">
      <c r="A114" s="54" t="s">
        <v>271</v>
      </c>
      <c r="B114" s="54" t="s">
        <v>183</v>
      </c>
      <c r="C114" s="55">
        <v>873038.0</v>
      </c>
      <c r="D114" s="55" t="s">
        <v>31</v>
      </c>
      <c r="E114" s="56" t="s">
        <v>184</v>
      </c>
      <c r="F114" s="57">
        <v>40281.0</v>
      </c>
      <c r="G114" s="56">
        <v>195.0</v>
      </c>
      <c r="H114" s="58">
        <v>0.00290224363684205</v>
      </c>
      <c r="I114" s="59">
        <v>1.96759259259259E-4</v>
      </c>
      <c r="J114" s="59">
        <v>0.0321064814814815</v>
      </c>
      <c r="K114" s="59">
        <v>0.385162037037037</v>
      </c>
      <c r="L114" s="56">
        <v>2.0</v>
      </c>
      <c r="M114" s="56">
        <v>2.0</v>
      </c>
      <c r="N114" s="60">
        <v>1.0</v>
      </c>
      <c r="O114" s="61">
        <v>0.758974358974359</v>
      </c>
      <c r="P114" s="60">
        <v>0.939189189189189</v>
      </c>
    </row>
    <row r="115" ht="12.75" customHeight="1">
      <c r="A115" s="54" t="s">
        <v>272</v>
      </c>
      <c r="B115" s="54" t="s">
        <v>183</v>
      </c>
      <c r="C115" s="55">
        <v>873230.0</v>
      </c>
      <c r="D115" s="55" t="s">
        <v>20</v>
      </c>
      <c r="E115" s="56" t="s">
        <v>184</v>
      </c>
      <c r="F115" s="57">
        <v>40281.0</v>
      </c>
      <c r="G115" s="56">
        <v>190.0</v>
      </c>
      <c r="H115" s="58">
        <v>0.00200818485683333</v>
      </c>
      <c r="I115" s="59">
        <v>0.00425925925925926</v>
      </c>
      <c r="J115" s="59">
        <v>0.0314236111111111</v>
      </c>
      <c r="K115" s="59">
        <v>0.357696759259259</v>
      </c>
      <c r="L115" s="56">
        <v>0.0</v>
      </c>
      <c r="M115" s="56">
        <v>11.0</v>
      </c>
      <c r="N115" s="60">
        <v>0.666666666666667</v>
      </c>
      <c r="O115" s="61">
        <v>0.984210526315789</v>
      </c>
      <c r="P115" s="60">
        <v>0.978609625668449</v>
      </c>
    </row>
    <row r="116" ht="12.75" customHeight="1">
      <c r="A116" s="54" t="s">
        <v>273</v>
      </c>
      <c r="B116" s="54" t="s">
        <v>183</v>
      </c>
      <c r="C116" s="55">
        <v>873014.0</v>
      </c>
      <c r="D116" s="55" t="s">
        <v>199</v>
      </c>
      <c r="E116" s="63" t="s">
        <v>274</v>
      </c>
      <c r="F116" s="57">
        <v>40281.0</v>
      </c>
      <c r="G116" s="56">
        <v>59.0</v>
      </c>
      <c r="H116" s="58">
        <v>0.00144224732010417</v>
      </c>
      <c r="I116" s="59">
        <v>0.0</v>
      </c>
      <c r="J116" s="59">
        <v>0.028587962962963</v>
      </c>
      <c r="K116" s="59">
        <v>0.196261574074074</v>
      </c>
      <c r="L116" s="56">
        <v>0.0</v>
      </c>
      <c r="M116" s="56">
        <v>0.0</v>
      </c>
      <c r="N116" s="60"/>
      <c r="O116" s="61">
        <v>1.20338983050847</v>
      </c>
      <c r="P116" s="60">
        <v>0.985915492957746</v>
      </c>
    </row>
    <row r="117" ht="12.75" customHeight="1">
      <c r="A117" s="54" t="s">
        <v>7</v>
      </c>
      <c r="B117" s="54" t="s">
        <v>183</v>
      </c>
      <c r="C117" s="55">
        <v>873230.0</v>
      </c>
      <c r="D117" s="55" t="s">
        <v>19</v>
      </c>
      <c r="E117" s="56" t="s">
        <v>184</v>
      </c>
      <c r="F117" s="57">
        <v>40281.0</v>
      </c>
      <c r="G117" s="56">
        <v>207.0</v>
      </c>
      <c r="H117" s="58">
        <v>0.00167966391200961</v>
      </c>
      <c r="I117" s="59">
        <v>0.00100694444444444</v>
      </c>
      <c r="J117" s="59">
        <v>0.030625</v>
      </c>
      <c r="K117" s="59">
        <v>0.380451388888889</v>
      </c>
      <c r="L117" s="56">
        <v>1.0</v>
      </c>
      <c r="M117" s="56">
        <v>11.0</v>
      </c>
      <c r="N117" s="60">
        <v>0.428571428571429</v>
      </c>
      <c r="O117" s="61">
        <v>0.893719806763285</v>
      </c>
      <c r="P117" s="60">
        <v>0.983783783783784</v>
      </c>
    </row>
    <row r="118" ht="12.75" customHeight="1">
      <c r="A118" s="54" t="s">
        <v>275</v>
      </c>
      <c r="B118" s="54" t="s">
        <v>183</v>
      </c>
      <c r="C118" s="55">
        <v>876417.0</v>
      </c>
      <c r="D118" s="55" t="s">
        <v>28</v>
      </c>
      <c r="E118" s="56" t="s">
        <v>193</v>
      </c>
      <c r="F118" s="57">
        <v>40281.0</v>
      </c>
      <c r="G118" s="56">
        <v>59.0</v>
      </c>
      <c r="H118" s="58">
        <v>0.00437495088135532</v>
      </c>
      <c r="I118" s="59">
        <v>0.0400347222222222</v>
      </c>
      <c r="J118" s="59">
        <v>0.0248148148148148</v>
      </c>
      <c r="K118" s="59">
        <v>0.274270833333333</v>
      </c>
      <c r="L118" s="56">
        <v>2.0</v>
      </c>
      <c r="M118" s="56">
        <v>36.0</v>
      </c>
      <c r="N118" s="60">
        <v>1.0</v>
      </c>
      <c r="O118" s="61">
        <v>0.864406779661017</v>
      </c>
      <c r="P118" s="60">
        <v>1.0</v>
      </c>
    </row>
    <row r="119" ht="12.75" customHeight="1">
      <c r="A119" s="54" t="s">
        <v>276</v>
      </c>
      <c r="B119" s="54" t="s">
        <v>183</v>
      </c>
      <c r="C119" s="55">
        <v>876253.0</v>
      </c>
      <c r="D119" s="55" t="s">
        <v>28</v>
      </c>
      <c r="E119" s="56" t="s">
        <v>181</v>
      </c>
      <c r="F119" s="57">
        <v>40281.0</v>
      </c>
      <c r="G119" s="56">
        <v>111.0</v>
      </c>
      <c r="H119" s="58">
        <v>0.00258401629376466</v>
      </c>
      <c r="I119" s="59">
        <v>0.00146990740740741</v>
      </c>
      <c r="J119" s="59">
        <v>0.0243055555555556</v>
      </c>
      <c r="K119" s="59">
        <v>0.337847222222222</v>
      </c>
      <c r="L119" s="56">
        <v>1.0</v>
      </c>
      <c r="M119" s="56">
        <v>4.0</v>
      </c>
      <c r="N119" s="60">
        <v>0.5</v>
      </c>
      <c r="O119" s="61">
        <v>1.04504504504505</v>
      </c>
      <c r="P119" s="60">
        <v>0.956896551724138</v>
      </c>
    </row>
    <row r="120" ht="12.75" customHeight="1">
      <c r="A120" s="54" t="s">
        <v>277</v>
      </c>
      <c r="B120" s="54" t="s">
        <v>183</v>
      </c>
      <c r="C120" s="55">
        <v>873039.0</v>
      </c>
      <c r="D120" s="55" t="s">
        <v>29</v>
      </c>
      <c r="E120" s="56" t="s">
        <v>184</v>
      </c>
      <c r="F120" s="57">
        <v>40281.0</v>
      </c>
      <c r="G120" s="56">
        <v>116.0</v>
      </c>
      <c r="H120" s="58">
        <v>0.00175486909018519</v>
      </c>
      <c r="I120" s="59">
        <v>3.35648148148148E-4</v>
      </c>
      <c r="J120" s="59">
        <v>0.0232638888888889</v>
      </c>
      <c r="K120" s="59">
        <v>0.201076388888889</v>
      </c>
      <c r="L120" s="56">
        <v>3.0</v>
      </c>
      <c r="M120" s="56">
        <v>4.0</v>
      </c>
      <c r="N120" s="60">
        <v>1.0</v>
      </c>
      <c r="O120" s="61">
        <v>1.30172413793103</v>
      </c>
      <c r="P120" s="60">
        <v>0.966887417218543</v>
      </c>
    </row>
    <row r="121" ht="12.75" customHeight="1">
      <c r="A121" s="54" t="s">
        <v>278</v>
      </c>
      <c r="B121" s="54" t="s">
        <v>183</v>
      </c>
      <c r="C121" s="55">
        <v>873210.0</v>
      </c>
      <c r="D121" s="55" t="s">
        <v>23</v>
      </c>
      <c r="E121" s="56" t="s">
        <v>184</v>
      </c>
      <c r="F121" s="57">
        <v>40281.0</v>
      </c>
      <c r="G121" s="56">
        <v>74.0</v>
      </c>
      <c r="H121" s="58">
        <v>0.00100193942034722</v>
      </c>
      <c r="I121" s="59">
        <v>0.0</v>
      </c>
      <c r="J121" s="59">
        <v>0.0290393518518519</v>
      </c>
      <c r="K121" s="59">
        <v>0.195694444444444</v>
      </c>
      <c r="L121" s="56">
        <v>0.0</v>
      </c>
      <c r="M121" s="56">
        <v>0.0</v>
      </c>
      <c r="N121" s="60"/>
      <c r="O121" s="61">
        <v>3.09459459459459</v>
      </c>
      <c r="P121" s="60">
        <v>0.995633187772926</v>
      </c>
    </row>
    <row r="122" ht="12.75" customHeight="1">
      <c r="A122" s="54" t="s">
        <v>279</v>
      </c>
      <c r="B122" s="54" t="s">
        <v>183</v>
      </c>
      <c r="C122" s="55">
        <v>873299.0</v>
      </c>
      <c r="D122" s="55" t="s">
        <v>29</v>
      </c>
      <c r="E122" s="56" t="s">
        <v>193</v>
      </c>
      <c r="F122" s="57">
        <v>40281.0</v>
      </c>
      <c r="G122" s="56">
        <v>188.0</v>
      </c>
      <c r="H122" s="58">
        <v>0.00177883660351852</v>
      </c>
      <c r="I122" s="59">
        <v>1.96759259259259E-4</v>
      </c>
      <c r="J122" s="59">
        <v>0.00957175925925926</v>
      </c>
      <c r="K122" s="59">
        <v>0.337199074074074</v>
      </c>
      <c r="L122" s="56">
        <v>0.0</v>
      </c>
      <c r="M122" s="56">
        <v>2.0</v>
      </c>
      <c r="N122" s="60">
        <v>0.9</v>
      </c>
      <c r="O122" s="61">
        <v>1.11702127659574</v>
      </c>
      <c r="P122" s="60">
        <v>0.952380952380952</v>
      </c>
    </row>
    <row r="123" ht="12.75" customHeight="1">
      <c r="A123" s="54" t="s">
        <v>280</v>
      </c>
      <c r="B123" s="54" t="s">
        <v>183</v>
      </c>
      <c r="C123" s="55">
        <v>873307.0</v>
      </c>
      <c r="D123" s="55" t="s">
        <v>31</v>
      </c>
      <c r="E123" s="56" t="s">
        <v>193</v>
      </c>
      <c r="F123" s="57">
        <v>40281.0</v>
      </c>
      <c r="G123" s="56">
        <v>128.0</v>
      </c>
      <c r="H123" s="58">
        <v>0.00152587890625</v>
      </c>
      <c r="I123" s="59">
        <v>8.10185185185185E-5</v>
      </c>
      <c r="J123" s="59">
        <v>0.00987268518518519</v>
      </c>
      <c r="K123" s="59">
        <v>0.209884259259259</v>
      </c>
      <c r="L123" s="56">
        <v>2.0</v>
      </c>
      <c r="M123" s="56">
        <v>2.0</v>
      </c>
      <c r="N123" s="60">
        <v>1.0</v>
      </c>
      <c r="O123" s="61">
        <v>1.1484375</v>
      </c>
      <c r="P123" s="60">
        <v>0.986394557823129</v>
      </c>
    </row>
    <row r="124" ht="12.75" customHeight="1">
      <c r="A124" s="54" t="s">
        <v>281</v>
      </c>
      <c r="B124" s="54" t="s">
        <v>183</v>
      </c>
      <c r="C124" s="55">
        <v>876401.0</v>
      </c>
      <c r="D124" s="55" t="s">
        <v>199</v>
      </c>
      <c r="E124" s="56" t="s">
        <v>181</v>
      </c>
      <c r="F124" s="57">
        <v>40281.0</v>
      </c>
      <c r="G124" s="56">
        <v>158.0</v>
      </c>
      <c r="H124" s="58">
        <v>0.00207271152072917</v>
      </c>
      <c r="I124" s="59">
        <v>1.50462962962963E-4</v>
      </c>
      <c r="J124" s="59">
        <v>0.0216666666666667</v>
      </c>
      <c r="K124" s="59">
        <v>0.377395833333333</v>
      </c>
      <c r="L124" s="56">
        <v>4.0</v>
      </c>
      <c r="M124" s="56">
        <v>4.0</v>
      </c>
      <c r="N124" s="60">
        <v>0.8</v>
      </c>
      <c r="O124" s="61">
        <v>1.11392405063291</v>
      </c>
      <c r="P124" s="60">
        <v>0.818181818181818</v>
      </c>
    </row>
    <row r="125" ht="12.75" customHeight="1">
      <c r="A125" s="54" t="s">
        <v>282</v>
      </c>
      <c r="B125" s="54" t="s">
        <v>183</v>
      </c>
      <c r="C125" s="55">
        <v>873001.0</v>
      </c>
      <c r="D125" s="55" t="s">
        <v>21</v>
      </c>
      <c r="E125" s="56" t="s">
        <v>181</v>
      </c>
      <c r="F125" s="57">
        <v>40281.0</v>
      </c>
      <c r="G125" s="56">
        <v>287.0</v>
      </c>
      <c r="H125" s="58">
        <v>0.00150544572759491</v>
      </c>
      <c r="I125" s="59">
        <v>0.00949074074074074</v>
      </c>
      <c r="J125" s="59">
        <v>0.0272916666666667</v>
      </c>
      <c r="K125" s="59">
        <v>0.372476851851852</v>
      </c>
      <c r="L125" s="56">
        <v>2.0</v>
      </c>
      <c r="M125" s="56">
        <v>17.0</v>
      </c>
      <c r="N125" s="60">
        <v>1.0</v>
      </c>
      <c r="O125" s="61">
        <v>0.885017421602787</v>
      </c>
      <c r="P125" s="60">
        <v>0.960629921259842</v>
      </c>
    </row>
    <row r="126" ht="12.75" customHeight="1">
      <c r="A126" s="54" t="s">
        <v>283</v>
      </c>
      <c r="B126" s="54" t="s">
        <v>183</v>
      </c>
      <c r="C126" s="55">
        <v>876355.0</v>
      </c>
      <c r="D126" s="55" t="s">
        <v>29</v>
      </c>
      <c r="E126" s="56" t="s">
        <v>181</v>
      </c>
      <c r="F126" s="57">
        <v>40281.0</v>
      </c>
      <c r="G126" s="56">
        <v>229.0</v>
      </c>
      <c r="H126" s="58">
        <v>0.00150703874451065</v>
      </c>
      <c r="I126" s="59">
        <v>3.81944444444444E-4</v>
      </c>
      <c r="J126" s="59">
        <v>0.0306481481481481</v>
      </c>
      <c r="K126" s="59">
        <v>0.37150462962963</v>
      </c>
      <c r="L126" s="56">
        <v>3.0</v>
      </c>
      <c r="M126" s="56">
        <v>6.0</v>
      </c>
      <c r="N126" s="60">
        <v>0.666666666666667</v>
      </c>
      <c r="O126" s="61">
        <v>1.09170305676856</v>
      </c>
      <c r="P126" s="60">
        <v>0.984</v>
      </c>
    </row>
    <row r="127" ht="12.75" customHeight="1">
      <c r="A127" s="54" t="s">
        <v>284</v>
      </c>
      <c r="B127" s="54" t="s">
        <v>183</v>
      </c>
      <c r="C127" s="55">
        <v>876346.0</v>
      </c>
      <c r="D127" s="55" t="s">
        <v>29</v>
      </c>
      <c r="E127" s="56" t="s">
        <v>181</v>
      </c>
      <c r="F127" s="57">
        <v>40280.0</v>
      </c>
      <c r="G127" s="56">
        <v>229.0</v>
      </c>
      <c r="H127" s="58">
        <v>0.00154939704471065</v>
      </c>
      <c r="I127" s="59">
        <v>1.50462962962963E-4</v>
      </c>
      <c r="J127" s="59">
        <v>0.0312731481481481</v>
      </c>
      <c r="K127" s="59">
        <v>0.390902777777778</v>
      </c>
      <c r="L127" s="56">
        <v>4.0</v>
      </c>
      <c r="M127" s="56">
        <v>4.0</v>
      </c>
      <c r="N127" s="60"/>
      <c r="O127" s="61">
        <v>1.1528384279476</v>
      </c>
      <c r="P127" s="60">
        <v>0.988636363636364</v>
      </c>
    </row>
    <row r="128" ht="12.75" customHeight="1">
      <c r="A128" s="54" t="s">
        <v>285</v>
      </c>
      <c r="B128" s="54" t="s">
        <v>180</v>
      </c>
      <c r="C128" s="55">
        <v>876482.0</v>
      </c>
      <c r="D128" s="55" t="s">
        <v>23</v>
      </c>
      <c r="E128" s="56" t="s">
        <v>203</v>
      </c>
      <c r="F128" s="57">
        <v>40280.0</v>
      </c>
      <c r="G128" s="56">
        <v>113.0</v>
      </c>
      <c r="H128" s="58">
        <v>0.00319037306018956</v>
      </c>
      <c r="I128" s="59">
        <v>0.00372685185185185</v>
      </c>
      <c r="J128" s="59">
        <v>0.0314236111111111</v>
      </c>
      <c r="K128" s="59">
        <v>0.355034722222222</v>
      </c>
      <c r="L128" s="56">
        <v>3.0</v>
      </c>
      <c r="M128" s="56">
        <v>8.0</v>
      </c>
      <c r="N128" s="60">
        <v>1.0</v>
      </c>
      <c r="O128" s="61">
        <v>0.902654867256637</v>
      </c>
      <c r="P128" s="60">
        <v>0.950980392156863</v>
      </c>
    </row>
    <row r="129" ht="12.75" customHeight="1">
      <c r="A129" s="54" t="s">
        <v>286</v>
      </c>
      <c r="B129" s="54" t="s">
        <v>180</v>
      </c>
      <c r="C129" s="55">
        <v>876436.0</v>
      </c>
      <c r="D129" s="55" t="s">
        <v>199</v>
      </c>
      <c r="E129" s="56" t="e">
        <v>#N/A</v>
      </c>
      <c r="F129" s="57">
        <v>40280.0</v>
      </c>
      <c r="G129" s="56">
        <v>25.0</v>
      </c>
      <c r="H129" s="58">
        <v>0.00556521998511458</v>
      </c>
      <c r="I129" s="59">
        <v>0.0115277777777778</v>
      </c>
      <c r="J129" s="59">
        <v>0.0148842592592593</v>
      </c>
      <c r="K129" s="59">
        <v>0.129421296296296</v>
      </c>
      <c r="L129" s="56">
        <v>1.0</v>
      </c>
      <c r="M129" s="56">
        <v>8.0</v>
      </c>
      <c r="N129" s="60"/>
      <c r="O129" s="61">
        <v>0.96</v>
      </c>
      <c r="P129" s="60">
        <v>1.0</v>
      </c>
    </row>
    <row r="130" ht="12.75" customHeight="1">
      <c r="A130" s="54" t="s">
        <v>287</v>
      </c>
      <c r="B130" s="54" t="s">
        <v>180</v>
      </c>
      <c r="C130" s="55">
        <v>876333.0</v>
      </c>
      <c r="D130" s="55" t="s">
        <v>199</v>
      </c>
      <c r="E130" s="56" t="s">
        <v>181</v>
      </c>
      <c r="F130" s="57">
        <v>40280.0</v>
      </c>
      <c r="G130" s="56">
        <v>117.0</v>
      </c>
      <c r="H130" s="58">
        <v>0.00193751983068981</v>
      </c>
      <c r="I130" s="59">
        <v>4.62962962962963E-5</v>
      </c>
      <c r="J130" s="59">
        <v>0.0439814814814815</v>
      </c>
      <c r="K130" s="59">
        <v>0.269085648148148</v>
      </c>
      <c r="L130" s="56">
        <v>1.0</v>
      </c>
      <c r="M130" s="56">
        <v>3.0</v>
      </c>
      <c r="N130" s="60">
        <v>0.8</v>
      </c>
      <c r="O130" s="61">
        <v>0.957264957264957</v>
      </c>
      <c r="P130" s="60">
        <v>0.928571428571429</v>
      </c>
    </row>
    <row r="131" ht="12.75" customHeight="1">
      <c r="A131" s="54" t="s">
        <v>288</v>
      </c>
      <c r="B131" s="54" t="s">
        <v>180</v>
      </c>
      <c r="C131" s="55">
        <v>873212.0</v>
      </c>
      <c r="D131" s="55" t="s">
        <v>30</v>
      </c>
      <c r="E131" s="56" t="s">
        <v>184</v>
      </c>
      <c r="F131" s="57">
        <v>40280.0</v>
      </c>
      <c r="G131" s="56">
        <v>125.0</v>
      </c>
      <c r="H131" s="58">
        <v>0.0026224999717501</v>
      </c>
      <c r="I131" s="59">
        <v>1.04166666666667E-4</v>
      </c>
      <c r="J131" s="59">
        <v>0.0210416666666667</v>
      </c>
      <c r="K131" s="59">
        <v>0.351701388888889</v>
      </c>
      <c r="L131" s="56">
        <v>0.0</v>
      </c>
      <c r="M131" s="56">
        <v>1.0</v>
      </c>
      <c r="N131" s="60">
        <v>0.75</v>
      </c>
      <c r="O131" s="61">
        <v>1.968</v>
      </c>
      <c r="P131" s="60">
        <v>0.98780487804878</v>
      </c>
    </row>
    <row r="132" ht="12.75" customHeight="1">
      <c r="A132" s="54" t="s">
        <v>288</v>
      </c>
      <c r="B132" s="54" t="s">
        <v>180</v>
      </c>
      <c r="C132" s="55">
        <v>873212.0</v>
      </c>
      <c r="D132" s="55" t="s">
        <v>30</v>
      </c>
      <c r="E132" s="56" t="s">
        <v>184</v>
      </c>
      <c r="F132" s="57">
        <v>40280.0</v>
      </c>
      <c r="G132" s="56">
        <v>80.0</v>
      </c>
      <c r="H132" s="58">
        <v>0.00169208144700347</v>
      </c>
      <c r="I132" s="59">
        <v>7.98611111111111E-4</v>
      </c>
      <c r="J132" s="59">
        <v>0.0203356481481481</v>
      </c>
      <c r="K132" s="59">
        <v>0.167268518518519</v>
      </c>
      <c r="L132" s="56">
        <v>1.0</v>
      </c>
      <c r="M132" s="56">
        <v>3.0</v>
      </c>
      <c r="N132" s="60">
        <v>0.75</v>
      </c>
      <c r="O132" s="61">
        <v>3.075</v>
      </c>
      <c r="P132" s="60">
        <v>0.98780487804878</v>
      </c>
    </row>
    <row r="133" ht="12.75" customHeight="1">
      <c r="D133" s="64"/>
      <c r="H133" s="65"/>
    </row>
    <row r="134" ht="12.75" customHeight="1">
      <c r="D134" s="64"/>
      <c r="H134" s="65"/>
    </row>
    <row r="135" ht="12.75" customHeight="1">
      <c r="D135" s="64" t="str">
        <f>COUNTIF(G2:G132,"Sachin G",B2:B132,"inbound)")</f>
        <v>#N/A</v>
      </c>
      <c r="H135" s="65"/>
    </row>
    <row r="136" ht="12.75" customHeight="1">
      <c r="D136" s="64"/>
      <c r="H136" s="65"/>
    </row>
    <row r="137" ht="12.75" customHeight="1">
      <c r="D137" s="64"/>
      <c r="H137" s="65"/>
    </row>
    <row r="138" ht="12.75" customHeight="1">
      <c r="D138" s="64"/>
      <c r="H138" s="65"/>
    </row>
    <row r="139" ht="12.75" customHeight="1">
      <c r="D139" s="64"/>
      <c r="H139" s="65"/>
    </row>
    <row r="140" ht="12.75" customHeight="1">
      <c r="D140" s="64"/>
      <c r="H140" s="65"/>
    </row>
    <row r="141" ht="12.75" customHeight="1">
      <c r="D141" s="64"/>
      <c r="H141" s="65"/>
    </row>
    <row r="142" ht="12.75" customHeight="1">
      <c r="D142" s="64"/>
      <c r="H142" s="65"/>
    </row>
    <row r="143" ht="12.75" customHeight="1">
      <c r="D143" s="64"/>
      <c r="H143" s="65"/>
    </row>
    <row r="144" ht="12.75" customHeight="1">
      <c r="D144" s="64"/>
      <c r="H144" s="65"/>
    </row>
    <row r="145" ht="12.75" customHeight="1">
      <c r="D145" s="64"/>
      <c r="H145" s="65"/>
    </row>
    <row r="146" ht="12.75" customHeight="1">
      <c r="D146" s="64"/>
      <c r="H146" s="65"/>
    </row>
    <row r="147" ht="12.75" customHeight="1">
      <c r="D147" s="64"/>
      <c r="H147" s="65"/>
    </row>
    <row r="148" ht="12.75" customHeight="1">
      <c r="D148" s="64"/>
      <c r="H148" s="65"/>
    </row>
    <row r="149" ht="12.75" customHeight="1">
      <c r="D149" s="64"/>
      <c r="H149" s="65"/>
    </row>
    <row r="150" ht="12.75" customHeight="1">
      <c r="D150" s="64"/>
      <c r="H150" s="65"/>
    </row>
    <row r="151" ht="12.75" customHeight="1">
      <c r="D151" s="64"/>
      <c r="H151" s="65"/>
    </row>
    <row r="152" ht="12.75" customHeight="1">
      <c r="D152" s="64"/>
      <c r="H152" s="65"/>
    </row>
    <row r="153" ht="12.75" customHeight="1">
      <c r="D153" s="64"/>
      <c r="H153" s="65"/>
    </row>
    <row r="154" ht="12.75" customHeight="1">
      <c r="D154" s="64"/>
      <c r="H154" s="65"/>
    </row>
    <row r="155" ht="12.75" customHeight="1">
      <c r="D155" s="64"/>
      <c r="H155" s="65"/>
    </row>
    <row r="156" ht="12.75" customHeight="1">
      <c r="D156" s="64"/>
      <c r="H156" s="65"/>
    </row>
    <row r="157" ht="12.75" customHeight="1">
      <c r="D157" s="64"/>
      <c r="H157" s="65"/>
    </row>
    <row r="158" ht="12.75" customHeight="1">
      <c r="D158" s="64"/>
      <c r="H158" s="65"/>
    </row>
    <row r="159" ht="12.75" customHeight="1">
      <c r="D159" s="64"/>
      <c r="H159" s="65"/>
    </row>
    <row r="160" ht="12.75" customHeight="1">
      <c r="D160" s="64"/>
      <c r="H160" s="65"/>
    </row>
    <row r="161" ht="12.75" customHeight="1">
      <c r="D161" s="64"/>
      <c r="H161" s="65"/>
    </row>
    <row r="162" ht="12.75" customHeight="1">
      <c r="D162" s="64"/>
      <c r="H162" s="65"/>
    </row>
    <row r="163" ht="12.75" customHeight="1">
      <c r="D163" s="64"/>
      <c r="H163" s="65"/>
    </row>
    <row r="164" ht="12.75" customHeight="1">
      <c r="D164" s="64"/>
      <c r="H164" s="65"/>
    </row>
    <row r="165" ht="12.75" customHeight="1">
      <c r="D165" s="64"/>
      <c r="H165" s="65"/>
    </row>
    <row r="166" ht="12.75" customHeight="1">
      <c r="D166" s="64"/>
      <c r="H166" s="65"/>
    </row>
    <row r="167" ht="12.75" customHeight="1">
      <c r="D167" s="64"/>
      <c r="H167" s="65"/>
    </row>
    <row r="168" ht="12.75" customHeight="1">
      <c r="D168" s="64"/>
      <c r="H168" s="65"/>
    </row>
    <row r="169" ht="12.75" customHeight="1">
      <c r="D169" s="64"/>
      <c r="H169" s="65"/>
    </row>
    <row r="170" ht="12.75" customHeight="1">
      <c r="D170" s="64"/>
      <c r="H170" s="65"/>
    </row>
    <row r="171" ht="12.75" customHeight="1">
      <c r="D171" s="64"/>
      <c r="H171" s="65"/>
    </row>
    <row r="172" ht="12.75" customHeight="1">
      <c r="D172" s="64"/>
      <c r="H172" s="65"/>
    </row>
    <row r="173" ht="12.75" customHeight="1">
      <c r="D173" s="64"/>
      <c r="H173" s="65"/>
    </row>
    <row r="174" ht="12.75" customHeight="1">
      <c r="D174" s="64"/>
      <c r="H174" s="65"/>
    </row>
    <row r="175" ht="12.75" customHeight="1">
      <c r="D175" s="64"/>
      <c r="H175" s="65"/>
    </row>
    <row r="176" ht="12.75" customHeight="1">
      <c r="D176" s="64"/>
      <c r="H176" s="65"/>
    </row>
    <row r="177" ht="12.75" customHeight="1">
      <c r="D177" s="64"/>
      <c r="H177" s="65"/>
    </row>
    <row r="178" ht="12.75" customHeight="1">
      <c r="D178" s="64"/>
      <c r="H178" s="65"/>
    </row>
    <row r="179" ht="12.75" customHeight="1">
      <c r="D179" s="64"/>
      <c r="H179" s="65"/>
    </row>
    <row r="180" ht="12.75" customHeight="1">
      <c r="D180" s="64"/>
      <c r="H180" s="65"/>
    </row>
    <row r="181" ht="12.75" customHeight="1">
      <c r="D181" s="64"/>
      <c r="H181" s="65"/>
    </row>
    <row r="182" ht="12.75" customHeight="1">
      <c r="D182" s="64"/>
      <c r="H182" s="65"/>
    </row>
    <row r="183" ht="12.75" customHeight="1">
      <c r="D183" s="64"/>
      <c r="H183" s="65"/>
    </row>
    <row r="184" ht="12.75" customHeight="1">
      <c r="D184" s="64"/>
      <c r="H184" s="65"/>
    </row>
    <row r="185" ht="12.75" customHeight="1">
      <c r="D185" s="64"/>
      <c r="H185" s="65"/>
    </row>
    <row r="186" ht="12.75" customHeight="1">
      <c r="D186" s="64"/>
      <c r="H186" s="65"/>
    </row>
    <row r="187" ht="12.75" customHeight="1">
      <c r="D187" s="64"/>
      <c r="H187" s="65"/>
    </row>
    <row r="188" ht="12.75" customHeight="1">
      <c r="D188" s="64"/>
      <c r="H188" s="65"/>
    </row>
    <row r="189" ht="12.75" customHeight="1">
      <c r="D189" s="64"/>
      <c r="H189" s="65"/>
    </row>
    <row r="190" ht="12.75" customHeight="1">
      <c r="D190" s="64"/>
      <c r="H190" s="65"/>
    </row>
    <row r="191" ht="12.75" customHeight="1">
      <c r="D191" s="64"/>
      <c r="H191" s="65"/>
    </row>
    <row r="192" ht="12.75" customHeight="1">
      <c r="D192" s="64"/>
      <c r="H192" s="65"/>
    </row>
    <row r="193" ht="12.75" customHeight="1">
      <c r="D193" s="64"/>
      <c r="H193" s="65"/>
    </row>
    <row r="194" ht="12.75" customHeight="1">
      <c r="D194" s="64"/>
      <c r="H194" s="65"/>
    </row>
    <row r="195" ht="12.75" customHeight="1">
      <c r="D195" s="64"/>
      <c r="H195" s="65"/>
    </row>
    <row r="196" ht="12.75" customHeight="1">
      <c r="D196" s="64"/>
      <c r="H196" s="65"/>
    </row>
    <row r="197" ht="12.75" customHeight="1">
      <c r="D197" s="64"/>
      <c r="H197" s="65"/>
    </row>
    <row r="198" ht="12.75" customHeight="1">
      <c r="D198" s="64"/>
      <c r="H198" s="65"/>
    </row>
    <row r="199" ht="12.75" customHeight="1">
      <c r="D199" s="64"/>
      <c r="H199" s="65"/>
    </row>
    <row r="200" ht="12.75" customHeight="1">
      <c r="D200" s="64"/>
      <c r="H200" s="65"/>
    </row>
    <row r="201" ht="12.75" customHeight="1">
      <c r="D201" s="64"/>
      <c r="H201" s="65"/>
    </row>
    <row r="202" ht="12.75" customHeight="1">
      <c r="D202" s="64"/>
      <c r="H202" s="65"/>
    </row>
    <row r="203" ht="12.75" customHeight="1">
      <c r="D203" s="64"/>
      <c r="H203" s="65"/>
    </row>
    <row r="204" ht="12.75" customHeight="1">
      <c r="D204" s="64"/>
      <c r="H204" s="65"/>
    </row>
    <row r="205" ht="12.75" customHeight="1">
      <c r="D205" s="64"/>
      <c r="H205" s="65"/>
    </row>
    <row r="206" ht="12.75" customHeight="1">
      <c r="D206" s="64"/>
      <c r="H206" s="65"/>
    </row>
    <row r="207" ht="12.75" customHeight="1">
      <c r="D207" s="64"/>
      <c r="H207" s="65"/>
    </row>
    <row r="208" ht="12.75" customHeight="1">
      <c r="D208" s="64"/>
      <c r="H208" s="65"/>
    </row>
    <row r="209" ht="12.75" customHeight="1">
      <c r="D209" s="64"/>
      <c r="H209" s="65"/>
    </row>
    <row r="210" ht="12.75" customHeight="1">
      <c r="D210" s="64"/>
      <c r="H210" s="65"/>
    </row>
    <row r="211" ht="12.75" customHeight="1">
      <c r="D211" s="64"/>
      <c r="H211" s="65"/>
    </row>
    <row r="212" ht="12.75" customHeight="1">
      <c r="D212" s="64"/>
      <c r="H212" s="65"/>
    </row>
    <row r="213" ht="12.75" customHeight="1">
      <c r="D213" s="64"/>
      <c r="H213" s="65"/>
    </row>
    <row r="214" ht="12.75" customHeight="1">
      <c r="D214" s="64"/>
      <c r="H214" s="65"/>
    </row>
    <row r="215" ht="12.75" customHeight="1">
      <c r="D215" s="64"/>
      <c r="H215" s="65"/>
    </row>
    <row r="216" ht="12.75" customHeight="1">
      <c r="D216" s="64"/>
      <c r="H216" s="65"/>
    </row>
    <row r="217" ht="12.75" customHeight="1">
      <c r="D217" s="64"/>
      <c r="H217" s="65"/>
    </row>
    <row r="218" ht="12.75" customHeight="1">
      <c r="D218" s="64"/>
      <c r="H218" s="65"/>
    </row>
    <row r="219" ht="12.75" customHeight="1">
      <c r="D219" s="64"/>
      <c r="H219" s="65"/>
    </row>
    <row r="220" ht="12.75" customHeight="1">
      <c r="D220" s="64"/>
      <c r="H220" s="65"/>
    </row>
    <row r="221" ht="12.75" customHeight="1">
      <c r="D221" s="64"/>
      <c r="H221" s="65"/>
    </row>
    <row r="222" ht="12.75" customHeight="1">
      <c r="D222" s="64"/>
      <c r="H222" s="65"/>
    </row>
    <row r="223" ht="12.75" customHeight="1">
      <c r="D223" s="64"/>
      <c r="H223" s="65"/>
    </row>
    <row r="224" ht="12.75" customHeight="1">
      <c r="D224" s="64"/>
      <c r="H224" s="65"/>
    </row>
    <row r="225" ht="12.75" customHeight="1">
      <c r="D225" s="64"/>
      <c r="H225" s="65"/>
    </row>
    <row r="226" ht="12.75" customHeight="1">
      <c r="D226" s="64"/>
      <c r="H226" s="65"/>
    </row>
    <row r="227" ht="12.75" customHeight="1">
      <c r="D227" s="64"/>
      <c r="H227" s="65"/>
    </row>
    <row r="228" ht="12.75" customHeight="1">
      <c r="D228" s="64"/>
      <c r="H228" s="65"/>
    </row>
    <row r="229" ht="12.75" customHeight="1">
      <c r="D229" s="64"/>
      <c r="H229" s="65"/>
    </row>
    <row r="230" ht="12.75" customHeight="1">
      <c r="D230" s="64"/>
      <c r="H230" s="65"/>
    </row>
    <row r="231" ht="12.75" customHeight="1">
      <c r="D231" s="64"/>
      <c r="H231" s="65"/>
    </row>
    <row r="232" ht="12.75" customHeight="1">
      <c r="D232" s="64"/>
      <c r="H232" s="65"/>
    </row>
    <row r="233" ht="12.75" customHeight="1">
      <c r="D233" s="64"/>
      <c r="H233" s="65"/>
    </row>
    <row r="234" ht="12.75" customHeight="1">
      <c r="D234" s="64"/>
      <c r="H234" s="65"/>
    </row>
    <row r="235" ht="12.75" customHeight="1">
      <c r="D235" s="64"/>
      <c r="H235" s="65"/>
    </row>
    <row r="236" ht="12.75" customHeight="1">
      <c r="D236" s="64"/>
      <c r="H236" s="65"/>
    </row>
    <row r="237" ht="12.75" customHeight="1">
      <c r="D237" s="64"/>
      <c r="H237" s="65"/>
    </row>
    <row r="238" ht="12.75" customHeight="1">
      <c r="D238" s="64"/>
      <c r="H238" s="65"/>
    </row>
    <row r="239" ht="12.75" customHeight="1">
      <c r="D239" s="64"/>
      <c r="H239" s="65"/>
    </row>
    <row r="240" ht="12.75" customHeight="1">
      <c r="D240" s="64"/>
      <c r="H240" s="65"/>
    </row>
    <row r="241" ht="12.75" customHeight="1">
      <c r="D241" s="64"/>
      <c r="H241" s="65"/>
    </row>
    <row r="242" ht="12.75" customHeight="1">
      <c r="D242" s="64"/>
      <c r="H242" s="65"/>
    </row>
    <row r="243" ht="12.75" customHeight="1">
      <c r="D243" s="64"/>
      <c r="H243" s="65"/>
    </row>
    <row r="244" ht="12.75" customHeight="1">
      <c r="D244" s="64"/>
      <c r="H244" s="65"/>
    </row>
    <row r="245" ht="12.75" customHeight="1">
      <c r="D245" s="64"/>
      <c r="H245" s="65"/>
    </row>
    <row r="246" ht="12.75" customHeight="1">
      <c r="D246" s="64"/>
      <c r="H246" s="65"/>
    </row>
    <row r="247" ht="12.75" customHeight="1">
      <c r="D247" s="64"/>
      <c r="H247" s="65"/>
    </row>
    <row r="248" ht="12.75" customHeight="1">
      <c r="D248" s="64"/>
      <c r="H248" s="65"/>
    </row>
    <row r="249" ht="12.75" customHeight="1">
      <c r="D249" s="64"/>
      <c r="H249" s="65"/>
    </row>
    <row r="250" ht="12.75" customHeight="1">
      <c r="D250" s="64"/>
      <c r="H250" s="65"/>
    </row>
    <row r="251" ht="12.75" customHeight="1">
      <c r="D251" s="64"/>
      <c r="H251" s="65"/>
    </row>
    <row r="252" ht="12.75" customHeight="1">
      <c r="D252" s="64"/>
      <c r="H252" s="65"/>
    </row>
    <row r="253" ht="12.75" customHeight="1">
      <c r="D253" s="64"/>
      <c r="H253" s="65"/>
    </row>
    <row r="254" ht="12.75" customHeight="1">
      <c r="D254" s="64"/>
      <c r="H254" s="65"/>
    </row>
    <row r="255" ht="12.75" customHeight="1">
      <c r="D255" s="64"/>
      <c r="H255" s="65"/>
    </row>
    <row r="256" ht="12.75" customHeight="1">
      <c r="D256" s="64"/>
      <c r="H256" s="65"/>
    </row>
    <row r="257" ht="12.75" customHeight="1">
      <c r="D257" s="64"/>
      <c r="H257" s="65"/>
    </row>
    <row r="258" ht="12.75" customHeight="1">
      <c r="D258" s="64"/>
      <c r="H258" s="65"/>
    </row>
    <row r="259" ht="12.75" customHeight="1">
      <c r="D259" s="64"/>
      <c r="H259" s="65"/>
    </row>
    <row r="260" ht="12.75" customHeight="1">
      <c r="D260" s="64"/>
      <c r="H260" s="65"/>
    </row>
    <row r="261" ht="12.75" customHeight="1">
      <c r="D261" s="64"/>
      <c r="H261" s="65"/>
    </row>
    <row r="262" ht="12.75" customHeight="1">
      <c r="D262" s="64"/>
      <c r="H262" s="65"/>
    </row>
    <row r="263" ht="12.75" customHeight="1">
      <c r="D263" s="64"/>
      <c r="H263" s="65"/>
    </row>
    <row r="264" ht="12.75" customHeight="1">
      <c r="D264" s="64"/>
      <c r="H264" s="65"/>
    </row>
    <row r="265" ht="12.75" customHeight="1">
      <c r="D265" s="64"/>
      <c r="H265" s="65"/>
    </row>
    <row r="266" ht="12.75" customHeight="1">
      <c r="D266" s="64"/>
      <c r="H266" s="65"/>
    </row>
    <row r="267" ht="12.75" customHeight="1">
      <c r="D267" s="64"/>
      <c r="H267" s="65"/>
    </row>
    <row r="268" ht="12.75" customHeight="1">
      <c r="D268" s="64"/>
      <c r="H268" s="65"/>
    </row>
    <row r="269" ht="12.75" customHeight="1">
      <c r="D269" s="64"/>
      <c r="H269" s="65"/>
    </row>
    <row r="270" ht="12.75" customHeight="1">
      <c r="D270" s="64"/>
      <c r="H270" s="65"/>
    </row>
    <row r="271" ht="12.75" customHeight="1">
      <c r="D271" s="64"/>
      <c r="H271" s="65"/>
    </row>
    <row r="272" ht="12.75" customHeight="1">
      <c r="D272" s="64"/>
      <c r="H272" s="65"/>
    </row>
    <row r="273" ht="12.75" customHeight="1">
      <c r="D273" s="64"/>
      <c r="H273" s="65"/>
    </row>
    <row r="274" ht="12.75" customHeight="1">
      <c r="D274" s="64"/>
      <c r="H274" s="65"/>
    </row>
    <row r="275" ht="12.75" customHeight="1">
      <c r="D275" s="64"/>
      <c r="H275" s="65"/>
    </row>
    <row r="276" ht="12.75" customHeight="1">
      <c r="D276" s="64"/>
      <c r="H276" s="65"/>
    </row>
    <row r="277" ht="12.75" customHeight="1">
      <c r="D277" s="64"/>
      <c r="H277" s="65"/>
    </row>
    <row r="278" ht="12.75" customHeight="1">
      <c r="D278" s="64"/>
      <c r="H278" s="65"/>
    </row>
    <row r="279" ht="12.75" customHeight="1">
      <c r="D279" s="64"/>
      <c r="H279" s="65"/>
    </row>
    <row r="280" ht="12.75" customHeight="1">
      <c r="D280" s="64"/>
      <c r="H280" s="65"/>
    </row>
    <row r="281" ht="12.75" customHeight="1">
      <c r="D281" s="64"/>
      <c r="H281" s="65"/>
    </row>
    <row r="282" ht="12.75" customHeight="1">
      <c r="D282" s="64"/>
      <c r="H282" s="65"/>
    </row>
    <row r="283" ht="12.75" customHeight="1">
      <c r="D283" s="64"/>
      <c r="H283" s="65"/>
    </row>
    <row r="284" ht="12.75" customHeight="1">
      <c r="D284" s="64"/>
      <c r="H284" s="65"/>
    </row>
    <row r="285" ht="12.75" customHeight="1">
      <c r="D285" s="64"/>
      <c r="H285" s="65"/>
    </row>
    <row r="286" ht="12.75" customHeight="1">
      <c r="D286" s="64"/>
      <c r="H286" s="65"/>
    </row>
    <row r="287" ht="12.75" customHeight="1">
      <c r="D287" s="64"/>
      <c r="H287" s="65"/>
    </row>
    <row r="288" ht="12.75" customHeight="1">
      <c r="D288" s="64"/>
      <c r="H288" s="65"/>
    </row>
    <row r="289" ht="12.75" customHeight="1">
      <c r="D289" s="64"/>
      <c r="H289" s="65"/>
    </row>
    <row r="290" ht="12.75" customHeight="1">
      <c r="D290" s="64"/>
      <c r="H290" s="65"/>
    </row>
    <row r="291" ht="12.75" customHeight="1">
      <c r="D291" s="64"/>
      <c r="H291" s="65"/>
    </row>
    <row r="292" ht="12.75" customHeight="1">
      <c r="D292" s="64"/>
      <c r="H292" s="65"/>
    </row>
    <row r="293" ht="12.75" customHeight="1">
      <c r="D293" s="64"/>
      <c r="H293" s="65"/>
    </row>
    <row r="294" ht="12.75" customHeight="1">
      <c r="D294" s="64"/>
      <c r="H294" s="65"/>
    </row>
    <row r="295" ht="12.75" customHeight="1">
      <c r="D295" s="64"/>
      <c r="H295" s="65"/>
    </row>
    <row r="296" ht="12.75" customHeight="1">
      <c r="D296" s="64"/>
      <c r="H296" s="65"/>
    </row>
    <row r="297" ht="12.75" customHeight="1">
      <c r="D297" s="64"/>
      <c r="H297" s="65"/>
    </row>
    <row r="298" ht="12.75" customHeight="1">
      <c r="D298" s="64"/>
      <c r="H298" s="65"/>
    </row>
    <row r="299" ht="12.75" customHeight="1">
      <c r="D299" s="64"/>
      <c r="H299" s="65"/>
    </row>
    <row r="300" ht="12.75" customHeight="1">
      <c r="D300" s="64"/>
      <c r="H300" s="65"/>
    </row>
    <row r="301" ht="12.75" customHeight="1">
      <c r="D301" s="64"/>
      <c r="H301" s="65"/>
    </row>
    <row r="302" ht="12.75" customHeight="1">
      <c r="D302" s="64"/>
      <c r="H302" s="65"/>
    </row>
    <row r="303" ht="12.75" customHeight="1">
      <c r="D303" s="64"/>
      <c r="H303" s="65"/>
    </row>
    <row r="304" ht="12.75" customHeight="1">
      <c r="D304" s="64"/>
      <c r="H304" s="65"/>
    </row>
    <row r="305" ht="12.75" customHeight="1">
      <c r="D305" s="64"/>
      <c r="H305" s="65"/>
    </row>
    <row r="306" ht="12.75" customHeight="1">
      <c r="D306" s="64"/>
      <c r="H306" s="65"/>
    </row>
    <row r="307" ht="12.75" customHeight="1">
      <c r="D307" s="64"/>
      <c r="H307" s="65"/>
    </row>
    <row r="308" ht="12.75" customHeight="1">
      <c r="D308" s="64"/>
      <c r="H308" s="65"/>
    </row>
    <row r="309" ht="12.75" customHeight="1">
      <c r="D309" s="64"/>
      <c r="H309" s="65"/>
    </row>
    <row r="310" ht="12.75" customHeight="1">
      <c r="D310" s="64"/>
      <c r="H310" s="65"/>
    </row>
    <row r="311" ht="12.75" customHeight="1">
      <c r="D311" s="64"/>
      <c r="H311" s="65"/>
    </row>
    <row r="312" ht="12.75" customHeight="1">
      <c r="D312" s="64"/>
      <c r="H312" s="65"/>
    </row>
    <row r="313" ht="12.75" customHeight="1">
      <c r="D313" s="64"/>
      <c r="H313" s="65"/>
    </row>
    <row r="314" ht="12.75" customHeight="1">
      <c r="D314" s="64"/>
      <c r="H314" s="65"/>
    </row>
    <row r="315" ht="12.75" customHeight="1">
      <c r="D315" s="64"/>
      <c r="H315" s="65"/>
    </row>
    <row r="316" ht="12.75" customHeight="1">
      <c r="D316" s="64"/>
      <c r="H316" s="65"/>
    </row>
    <row r="317" ht="12.75" customHeight="1">
      <c r="D317" s="64"/>
      <c r="H317" s="65"/>
    </row>
    <row r="318" ht="12.75" customHeight="1">
      <c r="D318" s="64"/>
      <c r="H318" s="65"/>
    </row>
    <row r="319" ht="12.75" customHeight="1">
      <c r="D319" s="64"/>
      <c r="H319" s="65"/>
    </row>
    <row r="320" ht="12.75" customHeight="1">
      <c r="D320" s="64"/>
      <c r="H320" s="65"/>
    </row>
    <row r="321" ht="12.75" customHeight="1">
      <c r="D321" s="64"/>
      <c r="H321" s="65"/>
    </row>
    <row r="322" ht="12.75" customHeight="1">
      <c r="D322" s="64"/>
      <c r="H322" s="65"/>
    </row>
    <row r="323" ht="12.75" customHeight="1">
      <c r="D323" s="64"/>
      <c r="H323" s="65"/>
    </row>
    <row r="324" ht="12.75" customHeight="1">
      <c r="D324" s="64"/>
      <c r="H324" s="65"/>
    </row>
    <row r="325" ht="12.75" customHeight="1">
      <c r="D325" s="64"/>
      <c r="H325" s="65"/>
    </row>
    <row r="326" ht="12.75" customHeight="1">
      <c r="D326" s="64"/>
      <c r="H326" s="65"/>
    </row>
    <row r="327" ht="12.75" customHeight="1">
      <c r="D327" s="64"/>
      <c r="H327" s="65"/>
    </row>
    <row r="328" ht="12.75" customHeight="1">
      <c r="D328" s="64"/>
      <c r="H328" s="65"/>
    </row>
    <row r="329" ht="12.75" customHeight="1">
      <c r="D329" s="64"/>
      <c r="H329" s="65"/>
    </row>
    <row r="330" ht="12.75" customHeight="1">
      <c r="D330" s="64"/>
      <c r="H330" s="65"/>
    </row>
    <row r="331" ht="12.75" customHeight="1">
      <c r="D331" s="64"/>
      <c r="H331" s="65"/>
    </row>
    <row r="332" ht="12.75" customHeight="1">
      <c r="D332" s="64"/>
      <c r="H332" s="65"/>
    </row>
    <row r="333" ht="12.75" customHeight="1">
      <c r="D333" s="64"/>
      <c r="H333" s="65"/>
    </row>
    <row r="334" ht="12.75" customHeight="1">
      <c r="D334" s="64"/>
      <c r="H334" s="65"/>
    </row>
    <row r="335" ht="12.75" customHeight="1">
      <c r="D335" s="64"/>
      <c r="H335" s="65"/>
    </row>
    <row r="336" ht="12.75" customHeight="1">
      <c r="D336" s="64"/>
      <c r="H336" s="65"/>
    </row>
    <row r="337" ht="12.75" customHeight="1">
      <c r="D337" s="64"/>
      <c r="H337" s="65"/>
    </row>
    <row r="338" ht="12.75" customHeight="1">
      <c r="D338" s="64"/>
      <c r="H338" s="65"/>
    </row>
    <row r="339" ht="12.75" customHeight="1">
      <c r="D339" s="64"/>
      <c r="H339" s="65"/>
    </row>
    <row r="340" ht="12.75" customHeight="1">
      <c r="D340" s="64"/>
      <c r="H340" s="65"/>
    </row>
    <row r="341" ht="12.75" customHeight="1">
      <c r="D341" s="64"/>
      <c r="H341" s="65"/>
    </row>
    <row r="342" ht="12.75" customHeight="1">
      <c r="D342" s="64"/>
      <c r="H342" s="65"/>
    </row>
    <row r="343" ht="12.75" customHeight="1">
      <c r="D343" s="64"/>
      <c r="H343" s="65"/>
    </row>
    <row r="344" ht="12.75" customHeight="1">
      <c r="D344" s="64"/>
      <c r="H344" s="65"/>
    </row>
    <row r="345" ht="12.75" customHeight="1">
      <c r="D345" s="64"/>
      <c r="H345" s="65"/>
    </row>
    <row r="346" ht="12.75" customHeight="1">
      <c r="D346" s="64"/>
      <c r="H346" s="65"/>
    </row>
    <row r="347" ht="12.75" customHeight="1">
      <c r="D347" s="64"/>
      <c r="H347" s="65"/>
    </row>
    <row r="348" ht="12.75" customHeight="1">
      <c r="D348" s="64"/>
      <c r="H348" s="65"/>
    </row>
    <row r="349" ht="12.75" customHeight="1">
      <c r="D349" s="64"/>
      <c r="H349" s="65"/>
    </row>
    <row r="350" ht="12.75" customHeight="1">
      <c r="D350" s="64"/>
      <c r="H350" s="65"/>
    </row>
    <row r="351" ht="12.75" customHeight="1">
      <c r="D351" s="64"/>
      <c r="H351" s="65"/>
    </row>
    <row r="352" ht="12.75" customHeight="1">
      <c r="D352" s="64"/>
      <c r="H352" s="65"/>
    </row>
    <row r="353" ht="12.75" customHeight="1">
      <c r="D353" s="64"/>
      <c r="H353" s="65"/>
    </row>
    <row r="354" ht="12.75" customHeight="1">
      <c r="D354" s="64"/>
      <c r="H354" s="65"/>
    </row>
    <row r="355" ht="12.75" customHeight="1">
      <c r="D355" s="64"/>
      <c r="H355" s="65"/>
    </row>
    <row r="356" ht="12.75" customHeight="1">
      <c r="D356" s="64"/>
      <c r="H356" s="65"/>
    </row>
    <row r="357" ht="12.75" customHeight="1">
      <c r="D357" s="64"/>
      <c r="H357" s="65"/>
    </row>
    <row r="358" ht="12.75" customHeight="1">
      <c r="D358" s="64"/>
      <c r="H358" s="65"/>
    </row>
    <row r="359" ht="12.75" customHeight="1">
      <c r="D359" s="64"/>
      <c r="H359" s="65"/>
    </row>
    <row r="360" ht="12.75" customHeight="1">
      <c r="D360" s="64"/>
      <c r="H360" s="65"/>
    </row>
    <row r="361" ht="12.75" customHeight="1">
      <c r="D361" s="64"/>
      <c r="H361" s="65"/>
    </row>
    <row r="362" ht="12.75" customHeight="1">
      <c r="D362" s="64"/>
      <c r="H362" s="65"/>
    </row>
    <row r="363" ht="12.75" customHeight="1">
      <c r="D363" s="64"/>
      <c r="H363" s="65"/>
    </row>
    <row r="364" ht="12.75" customHeight="1">
      <c r="D364" s="64"/>
      <c r="H364" s="65"/>
    </row>
    <row r="365" ht="12.75" customHeight="1">
      <c r="D365" s="64"/>
      <c r="H365" s="65"/>
    </row>
    <row r="366" ht="12.75" customHeight="1">
      <c r="D366" s="64"/>
      <c r="H366" s="65"/>
    </row>
    <row r="367" ht="12.75" customHeight="1">
      <c r="D367" s="64"/>
      <c r="H367" s="65"/>
    </row>
    <row r="368" ht="12.75" customHeight="1">
      <c r="D368" s="64"/>
      <c r="H368" s="65"/>
    </row>
    <row r="369" ht="12.75" customHeight="1">
      <c r="D369" s="64"/>
      <c r="H369" s="65"/>
    </row>
    <row r="370" ht="12.75" customHeight="1">
      <c r="D370" s="64"/>
      <c r="H370" s="65"/>
    </row>
    <row r="371" ht="12.75" customHeight="1">
      <c r="D371" s="64"/>
      <c r="H371" s="65"/>
    </row>
    <row r="372" ht="12.75" customHeight="1">
      <c r="D372" s="64"/>
      <c r="H372" s="65"/>
    </row>
    <row r="373" ht="12.75" customHeight="1">
      <c r="D373" s="64"/>
      <c r="H373" s="65"/>
    </row>
    <row r="374" ht="12.75" customHeight="1">
      <c r="D374" s="64"/>
      <c r="H374" s="65"/>
    </row>
    <row r="375" ht="12.75" customHeight="1">
      <c r="D375" s="64"/>
      <c r="H375" s="65"/>
    </row>
    <row r="376" ht="12.75" customHeight="1">
      <c r="D376" s="64"/>
      <c r="H376" s="65"/>
    </row>
    <row r="377" ht="12.75" customHeight="1">
      <c r="D377" s="64"/>
      <c r="H377" s="65"/>
    </row>
    <row r="378" ht="12.75" customHeight="1">
      <c r="D378" s="64"/>
      <c r="H378" s="65"/>
    </row>
    <row r="379" ht="12.75" customHeight="1">
      <c r="D379" s="64"/>
      <c r="H379" s="65"/>
    </row>
    <row r="380" ht="12.75" customHeight="1">
      <c r="D380" s="64"/>
      <c r="H380" s="65"/>
    </row>
    <row r="381" ht="12.75" customHeight="1">
      <c r="D381" s="64"/>
      <c r="H381" s="65"/>
    </row>
    <row r="382" ht="12.75" customHeight="1">
      <c r="D382" s="64"/>
      <c r="H382" s="65"/>
    </row>
    <row r="383" ht="12.75" customHeight="1">
      <c r="D383" s="64"/>
      <c r="H383" s="65"/>
    </row>
    <row r="384" ht="12.75" customHeight="1">
      <c r="D384" s="64"/>
      <c r="H384" s="65"/>
    </row>
    <row r="385" ht="12.75" customHeight="1">
      <c r="D385" s="64"/>
      <c r="H385" s="65"/>
    </row>
    <row r="386" ht="12.75" customHeight="1">
      <c r="D386" s="64"/>
      <c r="H386" s="65"/>
    </row>
    <row r="387" ht="12.75" customHeight="1">
      <c r="D387" s="64"/>
      <c r="H387" s="65"/>
    </row>
    <row r="388" ht="12.75" customHeight="1">
      <c r="D388" s="64"/>
      <c r="H388" s="65"/>
    </row>
    <row r="389" ht="12.75" customHeight="1">
      <c r="D389" s="64"/>
      <c r="H389" s="65"/>
    </row>
    <row r="390" ht="12.75" customHeight="1">
      <c r="D390" s="64"/>
      <c r="H390" s="65"/>
    </row>
    <row r="391" ht="12.75" customHeight="1">
      <c r="D391" s="64"/>
      <c r="H391" s="65"/>
    </row>
    <row r="392" ht="12.75" customHeight="1">
      <c r="D392" s="64"/>
      <c r="H392" s="65"/>
    </row>
    <row r="393" ht="12.75" customHeight="1">
      <c r="D393" s="64"/>
      <c r="H393" s="65"/>
    </row>
    <row r="394" ht="12.75" customHeight="1">
      <c r="D394" s="64"/>
      <c r="H394" s="65"/>
    </row>
    <row r="395" ht="12.75" customHeight="1">
      <c r="D395" s="64"/>
      <c r="H395" s="65"/>
    </row>
    <row r="396" ht="12.75" customHeight="1">
      <c r="D396" s="64"/>
      <c r="H396" s="65"/>
    </row>
    <row r="397" ht="12.75" customHeight="1">
      <c r="D397" s="64"/>
      <c r="H397" s="65"/>
    </row>
    <row r="398" ht="12.75" customHeight="1">
      <c r="D398" s="64"/>
      <c r="H398" s="65"/>
    </row>
    <row r="399" ht="12.75" customHeight="1">
      <c r="D399" s="64"/>
      <c r="H399" s="65"/>
    </row>
    <row r="400" ht="12.75" customHeight="1">
      <c r="D400" s="64"/>
      <c r="H400" s="65"/>
    </row>
    <row r="401" ht="12.75" customHeight="1">
      <c r="D401" s="64"/>
      <c r="H401" s="65"/>
    </row>
    <row r="402" ht="12.75" customHeight="1">
      <c r="D402" s="64"/>
      <c r="H402" s="65"/>
    </row>
    <row r="403" ht="12.75" customHeight="1">
      <c r="D403" s="64"/>
      <c r="H403" s="65"/>
    </row>
    <row r="404" ht="12.75" customHeight="1">
      <c r="D404" s="64"/>
      <c r="H404" s="65"/>
    </row>
    <row r="405" ht="12.75" customHeight="1">
      <c r="D405" s="64"/>
      <c r="H405" s="65"/>
    </row>
    <row r="406" ht="12.75" customHeight="1">
      <c r="D406" s="64"/>
      <c r="H406" s="65"/>
    </row>
    <row r="407" ht="12.75" customHeight="1">
      <c r="D407" s="64"/>
      <c r="H407" s="65"/>
    </row>
    <row r="408" ht="12.75" customHeight="1">
      <c r="D408" s="64"/>
      <c r="H408" s="65"/>
    </row>
    <row r="409" ht="12.75" customHeight="1">
      <c r="D409" s="64"/>
      <c r="H409" s="65"/>
    </row>
    <row r="410" ht="12.75" customHeight="1">
      <c r="D410" s="64"/>
      <c r="H410" s="65"/>
    </row>
    <row r="411" ht="12.75" customHeight="1">
      <c r="D411" s="64"/>
      <c r="H411" s="65"/>
    </row>
    <row r="412" ht="12.75" customHeight="1">
      <c r="D412" s="64"/>
      <c r="H412" s="65"/>
    </row>
    <row r="413" ht="12.75" customHeight="1">
      <c r="D413" s="64"/>
      <c r="H413" s="65"/>
    </row>
    <row r="414" ht="12.75" customHeight="1">
      <c r="D414" s="64"/>
      <c r="H414" s="65"/>
    </row>
    <row r="415" ht="12.75" customHeight="1">
      <c r="D415" s="64"/>
      <c r="H415" s="65"/>
    </row>
    <row r="416" ht="12.75" customHeight="1">
      <c r="D416" s="64"/>
      <c r="H416" s="65"/>
    </row>
    <row r="417" ht="12.75" customHeight="1">
      <c r="D417" s="64"/>
      <c r="H417" s="65"/>
    </row>
    <row r="418" ht="12.75" customHeight="1">
      <c r="D418" s="64"/>
      <c r="H418" s="65"/>
    </row>
    <row r="419" ht="12.75" customHeight="1">
      <c r="D419" s="64"/>
      <c r="H419" s="65"/>
    </row>
    <row r="420" ht="12.75" customHeight="1">
      <c r="D420" s="64"/>
      <c r="H420" s="65"/>
    </row>
    <row r="421" ht="12.75" customHeight="1">
      <c r="D421" s="64"/>
      <c r="H421" s="65"/>
    </row>
    <row r="422" ht="12.75" customHeight="1">
      <c r="D422" s="64"/>
      <c r="H422" s="65"/>
    </row>
    <row r="423" ht="12.75" customHeight="1">
      <c r="D423" s="64"/>
      <c r="H423" s="65"/>
    </row>
    <row r="424" ht="12.75" customHeight="1">
      <c r="D424" s="64"/>
      <c r="H424" s="65"/>
    </row>
    <row r="425" ht="12.75" customHeight="1">
      <c r="D425" s="64"/>
      <c r="H425" s="65"/>
    </row>
    <row r="426" ht="12.75" customHeight="1">
      <c r="D426" s="64"/>
      <c r="H426" s="65"/>
    </row>
    <row r="427" ht="12.75" customHeight="1">
      <c r="D427" s="64"/>
      <c r="H427" s="65"/>
    </row>
    <row r="428" ht="12.75" customHeight="1">
      <c r="D428" s="64"/>
      <c r="H428" s="65"/>
    </row>
    <row r="429" ht="12.75" customHeight="1">
      <c r="D429" s="64"/>
      <c r="H429" s="65"/>
    </row>
    <row r="430" ht="12.75" customHeight="1">
      <c r="D430" s="64"/>
      <c r="H430" s="65"/>
    </row>
    <row r="431" ht="12.75" customHeight="1">
      <c r="D431" s="64"/>
      <c r="H431" s="65"/>
    </row>
    <row r="432" ht="12.75" customHeight="1">
      <c r="D432" s="64"/>
      <c r="H432" s="65"/>
    </row>
    <row r="433" ht="12.75" customHeight="1">
      <c r="D433" s="64"/>
      <c r="H433" s="65"/>
    </row>
    <row r="434" ht="12.75" customHeight="1">
      <c r="D434" s="64"/>
      <c r="H434" s="65"/>
    </row>
    <row r="435" ht="12.75" customHeight="1">
      <c r="D435" s="64"/>
      <c r="H435" s="65"/>
    </row>
    <row r="436" ht="12.75" customHeight="1">
      <c r="D436" s="64"/>
      <c r="H436" s="65"/>
    </row>
    <row r="437" ht="12.75" customHeight="1">
      <c r="D437" s="64"/>
      <c r="H437" s="65"/>
    </row>
    <row r="438" ht="12.75" customHeight="1">
      <c r="D438" s="64"/>
      <c r="H438" s="65"/>
    </row>
    <row r="439" ht="12.75" customHeight="1">
      <c r="D439" s="64"/>
      <c r="H439" s="65"/>
    </row>
    <row r="440" ht="12.75" customHeight="1">
      <c r="D440" s="64"/>
      <c r="H440" s="65"/>
    </row>
    <row r="441" ht="12.75" customHeight="1">
      <c r="D441" s="64"/>
      <c r="H441" s="65"/>
    </row>
    <row r="442" ht="12.75" customHeight="1">
      <c r="D442" s="64"/>
      <c r="H442" s="65"/>
    </row>
    <row r="443" ht="12.75" customHeight="1">
      <c r="D443" s="64"/>
      <c r="H443" s="65"/>
    </row>
    <row r="444" ht="12.75" customHeight="1">
      <c r="D444" s="64"/>
      <c r="H444" s="65"/>
    </row>
    <row r="445" ht="12.75" customHeight="1">
      <c r="D445" s="64"/>
      <c r="H445" s="65"/>
    </row>
    <row r="446" ht="12.75" customHeight="1">
      <c r="D446" s="64"/>
      <c r="H446" s="65"/>
    </row>
    <row r="447" ht="12.75" customHeight="1">
      <c r="D447" s="64"/>
      <c r="H447" s="65"/>
    </row>
    <row r="448" ht="12.75" customHeight="1">
      <c r="D448" s="64"/>
      <c r="H448" s="65"/>
    </row>
    <row r="449" ht="12.75" customHeight="1">
      <c r="D449" s="64"/>
      <c r="H449" s="65"/>
    </row>
    <row r="450" ht="12.75" customHeight="1">
      <c r="D450" s="64"/>
      <c r="H450" s="65"/>
    </row>
    <row r="451" ht="12.75" customHeight="1">
      <c r="D451" s="64"/>
      <c r="H451" s="65"/>
    </row>
    <row r="452" ht="12.75" customHeight="1">
      <c r="D452" s="64"/>
      <c r="H452" s="65"/>
    </row>
    <row r="453" ht="12.75" customHeight="1">
      <c r="D453" s="64"/>
      <c r="H453" s="65"/>
    </row>
    <row r="454" ht="12.75" customHeight="1">
      <c r="D454" s="64"/>
      <c r="H454" s="65"/>
    </row>
    <row r="455" ht="12.75" customHeight="1">
      <c r="D455" s="64"/>
      <c r="H455" s="65"/>
    </row>
    <row r="456" ht="12.75" customHeight="1">
      <c r="D456" s="64"/>
      <c r="H456" s="65"/>
    </row>
    <row r="457" ht="12.75" customHeight="1">
      <c r="D457" s="64"/>
      <c r="H457" s="65"/>
    </row>
    <row r="458" ht="12.75" customHeight="1">
      <c r="D458" s="64"/>
      <c r="H458" s="65"/>
    </row>
    <row r="459" ht="12.75" customHeight="1">
      <c r="D459" s="64"/>
      <c r="H459" s="65"/>
    </row>
    <row r="460" ht="12.75" customHeight="1">
      <c r="D460" s="64"/>
      <c r="H460" s="65"/>
    </row>
    <row r="461" ht="12.75" customHeight="1">
      <c r="D461" s="64"/>
      <c r="H461" s="65"/>
    </row>
    <row r="462" ht="12.75" customHeight="1">
      <c r="D462" s="64"/>
      <c r="H462" s="65"/>
    </row>
    <row r="463" ht="12.75" customHeight="1">
      <c r="D463" s="64"/>
      <c r="H463" s="65"/>
    </row>
    <row r="464" ht="12.75" customHeight="1">
      <c r="D464" s="64"/>
      <c r="H464" s="65"/>
    </row>
    <row r="465" ht="12.75" customHeight="1">
      <c r="D465" s="64"/>
      <c r="H465" s="65"/>
    </row>
    <row r="466" ht="12.75" customHeight="1">
      <c r="D466" s="64"/>
      <c r="H466" s="65"/>
    </row>
    <row r="467" ht="12.75" customHeight="1">
      <c r="D467" s="64"/>
      <c r="H467" s="65"/>
    </row>
    <row r="468" ht="12.75" customHeight="1">
      <c r="D468" s="64"/>
      <c r="H468" s="65"/>
    </row>
    <row r="469" ht="12.75" customHeight="1">
      <c r="D469" s="64"/>
      <c r="H469" s="65"/>
    </row>
    <row r="470" ht="12.75" customHeight="1">
      <c r="D470" s="64"/>
      <c r="H470" s="65"/>
    </row>
    <row r="471" ht="12.75" customHeight="1">
      <c r="D471" s="64"/>
      <c r="H471" s="65"/>
    </row>
    <row r="472" ht="12.75" customHeight="1">
      <c r="D472" s="64"/>
      <c r="H472" s="65"/>
    </row>
    <row r="473" ht="12.75" customHeight="1">
      <c r="D473" s="64"/>
      <c r="H473" s="65"/>
    </row>
    <row r="474" ht="12.75" customHeight="1">
      <c r="D474" s="64"/>
      <c r="H474" s="65"/>
    </row>
    <row r="475" ht="12.75" customHeight="1">
      <c r="D475" s="64"/>
      <c r="H475" s="65"/>
    </row>
    <row r="476" ht="12.75" customHeight="1">
      <c r="D476" s="64"/>
      <c r="H476" s="65"/>
    </row>
    <row r="477" ht="12.75" customHeight="1">
      <c r="D477" s="64"/>
      <c r="H477" s="65"/>
    </row>
    <row r="478" ht="12.75" customHeight="1">
      <c r="D478" s="64"/>
      <c r="H478" s="65"/>
    </row>
    <row r="479" ht="12.75" customHeight="1">
      <c r="D479" s="64"/>
      <c r="H479" s="65"/>
    </row>
    <row r="480" ht="12.75" customHeight="1">
      <c r="D480" s="64"/>
      <c r="H480" s="65"/>
    </row>
    <row r="481" ht="12.75" customHeight="1">
      <c r="D481" s="64"/>
      <c r="H481" s="65"/>
    </row>
    <row r="482" ht="12.75" customHeight="1">
      <c r="D482" s="64"/>
      <c r="H482" s="65"/>
    </row>
    <row r="483" ht="12.75" customHeight="1">
      <c r="D483" s="64"/>
      <c r="H483" s="65"/>
    </row>
    <row r="484" ht="12.75" customHeight="1">
      <c r="D484" s="64"/>
      <c r="H484" s="65"/>
    </row>
    <row r="485" ht="12.75" customHeight="1">
      <c r="D485" s="64"/>
      <c r="H485" s="65"/>
    </row>
    <row r="486" ht="12.75" customHeight="1">
      <c r="D486" s="64"/>
      <c r="H486" s="65"/>
    </row>
    <row r="487" ht="12.75" customHeight="1">
      <c r="D487" s="64"/>
      <c r="H487" s="65"/>
    </row>
    <row r="488" ht="12.75" customHeight="1">
      <c r="D488" s="64"/>
      <c r="H488" s="65"/>
    </row>
    <row r="489" ht="12.75" customHeight="1">
      <c r="D489" s="64"/>
      <c r="H489" s="65"/>
    </row>
    <row r="490" ht="12.75" customHeight="1">
      <c r="D490" s="64"/>
      <c r="H490" s="65"/>
    </row>
    <row r="491" ht="12.75" customHeight="1">
      <c r="D491" s="64"/>
      <c r="H491" s="65"/>
    </row>
    <row r="492" ht="12.75" customHeight="1">
      <c r="D492" s="64"/>
      <c r="H492" s="65"/>
    </row>
    <row r="493" ht="12.75" customHeight="1">
      <c r="D493" s="64"/>
      <c r="H493" s="65"/>
    </row>
    <row r="494" ht="12.75" customHeight="1">
      <c r="D494" s="64"/>
      <c r="H494" s="65"/>
    </row>
    <row r="495" ht="12.75" customHeight="1">
      <c r="D495" s="64"/>
      <c r="H495" s="65"/>
    </row>
    <row r="496" ht="12.75" customHeight="1">
      <c r="D496" s="64"/>
      <c r="H496" s="65"/>
    </row>
    <row r="497" ht="12.75" customHeight="1">
      <c r="D497" s="64"/>
      <c r="H497" s="65"/>
    </row>
    <row r="498" ht="12.75" customHeight="1">
      <c r="D498" s="64"/>
      <c r="H498" s="65"/>
    </row>
    <row r="499" ht="12.75" customHeight="1">
      <c r="D499" s="64"/>
      <c r="H499" s="65"/>
    </row>
    <row r="500" ht="12.75" customHeight="1">
      <c r="D500" s="64"/>
      <c r="H500" s="65"/>
    </row>
    <row r="501" ht="12.75" customHeight="1">
      <c r="D501" s="64"/>
      <c r="H501" s="65"/>
    </row>
    <row r="502" ht="12.75" customHeight="1">
      <c r="D502" s="64"/>
      <c r="H502" s="65"/>
    </row>
    <row r="503" ht="12.75" customHeight="1">
      <c r="D503" s="64"/>
      <c r="H503" s="65"/>
    </row>
    <row r="504" ht="12.75" customHeight="1">
      <c r="D504" s="64"/>
      <c r="H504" s="65"/>
    </row>
    <row r="505" ht="12.75" customHeight="1">
      <c r="D505" s="64"/>
      <c r="H505" s="65"/>
    </row>
    <row r="506" ht="12.75" customHeight="1">
      <c r="D506" s="64"/>
      <c r="H506" s="65"/>
    </row>
    <row r="507" ht="12.75" customHeight="1">
      <c r="D507" s="64"/>
      <c r="H507" s="65"/>
    </row>
    <row r="508" ht="12.75" customHeight="1">
      <c r="D508" s="64"/>
      <c r="H508" s="65"/>
    </row>
    <row r="509" ht="12.75" customHeight="1">
      <c r="D509" s="64"/>
      <c r="H509" s="65"/>
    </row>
    <row r="510" ht="12.75" customHeight="1">
      <c r="D510" s="64"/>
      <c r="H510" s="65"/>
    </row>
    <row r="511" ht="12.75" customHeight="1">
      <c r="D511" s="64"/>
      <c r="H511" s="65"/>
    </row>
    <row r="512" ht="12.75" customHeight="1">
      <c r="D512" s="64"/>
      <c r="H512" s="65"/>
    </row>
    <row r="513" ht="12.75" customHeight="1">
      <c r="D513" s="64"/>
      <c r="H513" s="65"/>
    </row>
    <row r="514" ht="12.75" customHeight="1">
      <c r="D514" s="64"/>
      <c r="H514" s="65"/>
    </row>
    <row r="515" ht="12.75" customHeight="1">
      <c r="D515" s="64"/>
      <c r="H515" s="65"/>
    </row>
    <row r="516" ht="12.75" customHeight="1">
      <c r="D516" s="64"/>
      <c r="H516" s="65"/>
    </row>
    <row r="517" ht="12.75" customHeight="1">
      <c r="D517" s="64"/>
      <c r="H517" s="65"/>
    </row>
    <row r="518" ht="12.75" customHeight="1">
      <c r="D518" s="64"/>
      <c r="H518" s="65"/>
    </row>
    <row r="519" ht="12.75" customHeight="1">
      <c r="D519" s="64"/>
      <c r="H519" s="65"/>
    </row>
    <row r="520" ht="12.75" customHeight="1">
      <c r="D520" s="64"/>
      <c r="H520" s="65"/>
    </row>
    <row r="521" ht="12.75" customHeight="1">
      <c r="D521" s="64"/>
      <c r="H521" s="65"/>
    </row>
    <row r="522" ht="12.75" customHeight="1">
      <c r="D522" s="64"/>
      <c r="H522" s="65"/>
    </row>
    <row r="523" ht="12.75" customHeight="1">
      <c r="D523" s="64"/>
      <c r="H523" s="65"/>
    </row>
    <row r="524" ht="12.75" customHeight="1">
      <c r="D524" s="64"/>
      <c r="H524" s="65"/>
    </row>
    <row r="525" ht="12.75" customHeight="1">
      <c r="D525" s="64"/>
      <c r="H525" s="65"/>
    </row>
    <row r="526" ht="12.75" customHeight="1">
      <c r="D526" s="64"/>
      <c r="H526" s="65"/>
    </row>
    <row r="527" ht="12.75" customHeight="1">
      <c r="D527" s="64"/>
      <c r="H527" s="65"/>
    </row>
    <row r="528" ht="12.75" customHeight="1">
      <c r="D528" s="64"/>
      <c r="H528" s="65"/>
    </row>
    <row r="529" ht="12.75" customHeight="1">
      <c r="D529" s="64"/>
      <c r="H529" s="65"/>
    </row>
    <row r="530" ht="12.75" customHeight="1">
      <c r="D530" s="64"/>
      <c r="H530" s="65"/>
    </row>
    <row r="531" ht="12.75" customHeight="1">
      <c r="D531" s="64"/>
      <c r="H531" s="65"/>
    </row>
    <row r="532" ht="12.75" customHeight="1">
      <c r="D532" s="64"/>
      <c r="H532" s="65"/>
    </row>
    <row r="533" ht="12.75" customHeight="1">
      <c r="D533" s="64"/>
      <c r="H533" s="65"/>
    </row>
    <row r="534" ht="12.75" customHeight="1">
      <c r="D534" s="64"/>
      <c r="H534" s="65"/>
    </row>
    <row r="535" ht="12.75" customHeight="1">
      <c r="D535" s="64"/>
      <c r="H535" s="65"/>
    </row>
    <row r="536" ht="12.75" customHeight="1">
      <c r="D536" s="64"/>
      <c r="H536" s="65"/>
    </row>
    <row r="537" ht="12.75" customHeight="1">
      <c r="D537" s="64"/>
      <c r="H537" s="65"/>
    </row>
    <row r="538" ht="12.75" customHeight="1">
      <c r="D538" s="64"/>
      <c r="H538" s="65"/>
    </row>
    <row r="539" ht="12.75" customHeight="1">
      <c r="D539" s="64"/>
      <c r="H539" s="65"/>
    </row>
    <row r="540" ht="12.75" customHeight="1">
      <c r="D540" s="64"/>
      <c r="H540" s="65"/>
    </row>
    <row r="541" ht="12.75" customHeight="1">
      <c r="D541" s="64"/>
      <c r="H541" s="65"/>
    </row>
    <row r="542" ht="12.75" customHeight="1">
      <c r="D542" s="64"/>
      <c r="H542" s="65"/>
    </row>
    <row r="543" ht="12.75" customHeight="1">
      <c r="D543" s="64"/>
      <c r="H543" s="65"/>
    </row>
    <row r="544" ht="12.75" customHeight="1">
      <c r="D544" s="64"/>
      <c r="H544" s="65"/>
    </row>
    <row r="545" ht="12.75" customHeight="1">
      <c r="D545" s="64"/>
      <c r="H545" s="65"/>
    </row>
    <row r="546" ht="12.75" customHeight="1">
      <c r="D546" s="64"/>
      <c r="H546" s="65"/>
    </row>
    <row r="547" ht="12.75" customHeight="1">
      <c r="D547" s="64"/>
      <c r="H547" s="65"/>
    </row>
    <row r="548" ht="12.75" customHeight="1">
      <c r="D548" s="64"/>
      <c r="H548" s="65"/>
    </row>
    <row r="549" ht="12.75" customHeight="1">
      <c r="D549" s="64"/>
      <c r="H549" s="65"/>
    </row>
    <row r="550" ht="12.75" customHeight="1">
      <c r="D550" s="64"/>
      <c r="H550" s="65"/>
    </row>
    <row r="551" ht="12.75" customHeight="1">
      <c r="D551" s="64"/>
      <c r="H551" s="65"/>
    </row>
    <row r="552" ht="12.75" customHeight="1">
      <c r="D552" s="64"/>
      <c r="H552" s="65"/>
    </row>
    <row r="553" ht="12.75" customHeight="1">
      <c r="D553" s="64"/>
      <c r="H553" s="65"/>
    </row>
    <row r="554" ht="12.75" customHeight="1">
      <c r="D554" s="64"/>
      <c r="H554" s="65"/>
    </row>
    <row r="555" ht="12.75" customHeight="1">
      <c r="D555" s="64"/>
      <c r="H555" s="65"/>
    </row>
    <row r="556" ht="12.75" customHeight="1">
      <c r="D556" s="64"/>
      <c r="H556" s="65"/>
    </row>
    <row r="557" ht="12.75" customHeight="1">
      <c r="D557" s="64"/>
      <c r="H557" s="65"/>
    </row>
    <row r="558" ht="12.75" customHeight="1">
      <c r="D558" s="64"/>
      <c r="H558" s="65"/>
    </row>
    <row r="559" ht="12.75" customHeight="1">
      <c r="D559" s="64"/>
      <c r="H559" s="65"/>
    </row>
    <row r="560" ht="12.75" customHeight="1">
      <c r="D560" s="64"/>
      <c r="H560" s="65"/>
    </row>
    <row r="561" ht="12.75" customHeight="1">
      <c r="D561" s="64"/>
      <c r="H561" s="65"/>
    </row>
    <row r="562" ht="12.75" customHeight="1">
      <c r="D562" s="64"/>
      <c r="H562" s="65"/>
    </row>
    <row r="563" ht="12.75" customHeight="1">
      <c r="D563" s="64"/>
      <c r="H563" s="65"/>
    </row>
    <row r="564" ht="12.75" customHeight="1">
      <c r="D564" s="64"/>
      <c r="H564" s="65"/>
    </row>
    <row r="565" ht="12.75" customHeight="1">
      <c r="D565" s="64"/>
      <c r="H565" s="65"/>
    </row>
    <row r="566" ht="12.75" customHeight="1">
      <c r="D566" s="64"/>
      <c r="H566" s="65"/>
    </row>
    <row r="567" ht="12.75" customHeight="1">
      <c r="D567" s="64"/>
      <c r="H567" s="65"/>
    </row>
    <row r="568" ht="12.75" customHeight="1">
      <c r="D568" s="64"/>
      <c r="H568" s="65"/>
    </row>
    <row r="569" ht="12.75" customHeight="1">
      <c r="D569" s="64"/>
      <c r="H569" s="65"/>
    </row>
    <row r="570" ht="12.75" customHeight="1">
      <c r="D570" s="64"/>
      <c r="H570" s="65"/>
    </row>
    <row r="571" ht="12.75" customHeight="1">
      <c r="D571" s="64"/>
      <c r="H571" s="65"/>
    </row>
    <row r="572" ht="12.75" customHeight="1">
      <c r="D572" s="64"/>
      <c r="H572" s="65"/>
    </row>
    <row r="573" ht="12.75" customHeight="1">
      <c r="D573" s="64"/>
      <c r="H573" s="65"/>
    </row>
    <row r="574" ht="12.75" customHeight="1">
      <c r="D574" s="64"/>
      <c r="H574" s="65"/>
    </row>
    <row r="575" ht="12.75" customHeight="1">
      <c r="D575" s="64"/>
      <c r="H575" s="65"/>
    </row>
    <row r="576" ht="12.75" customHeight="1">
      <c r="D576" s="64"/>
      <c r="H576" s="65"/>
    </row>
    <row r="577" ht="12.75" customHeight="1">
      <c r="D577" s="64"/>
      <c r="H577" s="65"/>
    </row>
    <row r="578" ht="12.75" customHeight="1">
      <c r="D578" s="64"/>
      <c r="H578" s="65"/>
    </row>
    <row r="579" ht="12.75" customHeight="1">
      <c r="D579" s="64"/>
      <c r="H579" s="65"/>
    </row>
    <row r="580" ht="12.75" customHeight="1">
      <c r="D580" s="64"/>
      <c r="H580" s="65"/>
    </row>
    <row r="581" ht="12.75" customHeight="1">
      <c r="D581" s="64"/>
      <c r="H581" s="65"/>
    </row>
    <row r="582" ht="12.75" customHeight="1">
      <c r="D582" s="64"/>
      <c r="H582" s="65"/>
    </row>
    <row r="583" ht="12.75" customHeight="1">
      <c r="D583" s="64"/>
      <c r="H583" s="65"/>
    </row>
    <row r="584" ht="12.75" customHeight="1">
      <c r="D584" s="64"/>
      <c r="H584" s="65"/>
    </row>
    <row r="585" ht="12.75" customHeight="1">
      <c r="D585" s="64"/>
      <c r="H585" s="65"/>
    </row>
    <row r="586" ht="12.75" customHeight="1">
      <c r="D586" s="64"/>
      <c r="H586" s="65"/>
    </row>
    <row r="587" ht="12.75" customHeight="1">
      <c r="D587" s="64"/>
      <c r="H587" s="65"/>
    </row>
    <row r="588" ht="12.75" customHeight="1">
      <c r="D588" s="64"/>
      <c r="H588" s="65"/>
    </row>
    <row r="589" ht="12.75" customHeight="1">
      <c r="D589" s="64"/>
      <c r="H589" s="65"/>
    </row>
    <row r="590" ht="12.75" customHeight="1">
      <c r="D590" s="64"/>
      <c r="H590" s="65"/>
    </row>
    <row r="591" ht="12.75" customHeight="1">
      <c r="D591" s="64"/>
      <c r="H591" s="65"/>
    </row>
    <row r="592" ht="12.75" customHeight="1">
      <c r="D592" s="64"/>
      <c r="H592" s="65"/>
    </row>
    <row r="593" ht="12.75" customHeight="1">
      <c r="D593" s="64"/>
      <c r="H593" s="65"/>
    </row>
    <row r="594" ht="12.75" customHeight="1">
      <c r="D594" s="64"/>
      <c r="H594" s="65"/>
    </row>
    <row r="595" ht="12.75" customHeight="1">
      <c r="D595" s="64"/>
      <c r="H595" s="65"/>
    </row>
    <row r="596" ht="12.75" customHeight="1">
      <c r="D596" s="64"/>
      <c r="H596" s="65"/>
    </row>
    <row r="597" ht="12.75" customHeight="1">
      <c r="D597" s="64"/>
      <c r="H597" s="65"/>
    </row>
    <row r="598" ht="12.75" customHeight="1">
      <c r="D598" s="64"/>
      <c r="H598" s="65"/>
    </row>
    <row r="599" ht="12.75" customHeight="1">
      <c r="D599" s="64"/>
      <c r="H599" s="65"/>
    </row>
    <row r="600" ht="12.75" customHeight="1">
      <c r="D600" s="64"/>
      <c r="H600" s="65"/>
    </row>
    <row r="601" ht="12.75" customHeight="1">
      <c r="D601" s="64"/>
      <c r="H601" s="65"/>
    </row>
    <row r="602" ht="12.75" customHeight="1">
      <c r="D602" s="64"/>
      <c r="H602" s="65"/>
    </row>
    <row r="603" ht="12.75" customHeight="1">
      <c r="D603" s="64"/>
      <c r="H603" s="65"/>
    </row>
    <row r="604" ht="12.75" customHeight="1">
      <c r="D604" s="64"/>
      <c r="H604" s="65"/>
    </row>
    <row r="605" ht="12.75" customHeight="1">
      <c r="D605" s="64"/>
      <c r="H605" s="65"/>
    </row>
    <row r="606" ht="12.75" customHeight="1">
      <c r="D606" s="64"/>
      <c r="H606" s="65"/>
    </row>
    <row r="607" ht="12.75" customHeight="1">
      <c r="D607" s="64"/>
      <c r="H607" s="65"/>
    </row>
    <row r="608" ht="12.75" customHeight="1">
      <c r="D608" s="64"/>
      <c r="H608" s="65"/>
    </row>
    <row r="609" ht="12.75" customHeight="1">
      <c r="D609" s="64"/>
      <c r="H609" s="65"/>
    </row>
    <row r="610" ht="12.75" customHeight="1">
      <c r="D610" s="64"/>
      <c r="H610" s="65"/>
    </row>
    <row r="611" ht="12.75" customHeight="1">
      <c r="D611" s="64"/>
      <c r="H611" s="65"/>
    </row>
    <row r="612" ht="12.75" customHeight="1">
      <c r="D612" s="64"/>
      <c r="H612" s="65"/>
    </row>
    <row r="613" ht="12.75" customHeight="1">
      <c r="D613" s="64"/>
      <c r="H613" s="65"/>
    </row>
    <row r="614" ht="12.75" customHeight="1">
      <c r="D614" s="64"/>
      <c r="H614" s="65"/>
    </row>
    <row r="615" ht="12.75" customHeight="1">
      <c r="D615" s="64"/>
      <c r="H615" s="65"/>
    </row>
    <row r="616" ht="12.75" customHeight="1">
      <c r="D616" s="64"/>
      <c r="H616" s="65"/>
    </row>
    <row r="617" ht="12.75" customHeight="1">
      <c r="D617" s="64"/>
      <c r="H617" s="65"/>
    </row>
    <row r="618" ht="12.75" customHeight="1">
      <c r="D618" s="64"/>
      <c r="H618" s="65"/>
    </row>
    <row r="619" ht="12.75" customHeight="1">
      <c r="D619" s="64"/>
      <c r="H619" s="65"/>
    </row>
    <row r="620" ht="12.75" customHeight="1">
      <c r="D620" s="64"/>
      <c r="H620" s="65"/>
    </row>
    <row r="621" ht="12.75" customHeight="1">
      <c r="D621" s="64"/>
      <c r="H621" s="65"/>
    </row>
    <row r="622" ht="12.75" customHeight="1">
      <c r="D622" s="64"/>
      <c r="H622" s="65"/>
    </row>
    <row r="623" ht="12.75" customHeight="1">
      <c r="D623" s="64"/>
      <c r="H623" s="65"/>
    </row>
    <row r="624" ht="12.75" customHeight="1">
      <c r="D624" s="64"/>
      <c r="H624" s="65"/>
    </row>
    <row r="625" ht="12.75" customHeight="1">
      <c r="D625" s="64"/>
      <c r="H625" s="65"/>
    </row>
    <row r="626" ht="12.75" customHeight="1">
      <c r="D626" s="64"/>
      <c r="H626" s="65"/>
    </row>
    <row r="627" ht="12.75" customHeight="1">
      <c r="D627" s="64"/>
      <c r="H627" s="65"/>
    </row>
    <row r="628" ht="12.75" customHeight="1">
      <c r="D628" s="64"/>
      <c r="H628" s="65"/>
    </row>
    <row r="629" ht="12.75" customHeight="1">
      <c r="D629" s="64"/>
      <c r="H629" s="65"/>
    </row>
    <row r="630" ht="12.75" customHeight="1">
      <c r="D630" s="64"/>
      <c r="H630" s="65"/>
    </row>
    <row r="631" ht="12.75" customHeight="1">
      <c r="D631" s="64"/>
      <c r="H631" s="65"/>
    </row>
    <row r="632" ht="12.75" customHeight="1">
      <c r="D632" s="64"/>
      <c r="H632" s="65"/>
    </row>
    <row r="633" ht="12.75" customHeight="1">
      <c r="D633" s="64"/>
      <c r="H633" s="65"/>
    </row>
    <row r="634" ht="12.75" customHeight="1">
      <c r="D634" s="64"/>
      <c r="H634" s="65"/>
    </row>
    <row r="635" ht="12.75" customHeight="1">
      <c r="D635" s="64"/>
      <c r="H635" s="65"/>
    </row>
    <row r="636" ht="12.75" customHeight="1">
      <c r="D636" s="64"/>
      <c r="H636" s="65"/>
    </row>
    <row r="637" ht="12.75" customHeight="1">
      <c r="D637" s="64"/>
      <c r="H637" s="65"/>
    </row>
    <row r="638" ht="12.75" customHeight="1">
      <c r="D638" s="64"/>
      <c r="H638" s="65"/>
    </row>
    <row r="639" ht="12.75" customHeight="1">
      <c r="D639" s="64"/>
      <c r="H639" s="65"/>
    </row>
    <row r="640" ht="12.75" customHeight="1">
      <c r="D640" s="64"/>
      <c r="H640" s="65"/>
    </row>
    <row r="641" ht="12.75" customHeight="1">
      <c r="D641" s="64"/>
      <c r="H641" s="65"/>
    </row>
    <row r="642" ht="12.75" customHeight="1">
      <c r="D642" s="64"/>
      <c r="H642" s="65"/>
    </row>
    <row r="643" ht="12.75" customHeight="1">
      <c r="D643" s="64"/>
      <c r="H643" s="65"/>
    </row>
    <row r="644" ht="12.75" customHeight="1">
      <c r="D644" s="64"/>
      <c r="H644" s="65"/>
    </row>
    <row r="645" ht="12.75" customHeight="1">
      <c r="D645" s="64"/>
      <c r="H645" s="65"/>
    </row>
    <row r="646" ht="12.75" customHeight="1">
      <c r="D646" s="64"/>
      <c r="H646" s="65"/>
    </row>
    <row r="647" ht="12.75" customHeight="1">
      <c r="D647" s="64"/>
      <c r="H647" s="65"/>
    </row>
    <row r="648" ht="12.75" customHeight="1">
      <c r="D648" s="64"/>
      <c r="H648" s="65"/>
    </row>
    <row r="649" ht="12.75" customHeight="1">
      <c r="D649" s="64"/>
      <c r="H649" s="65"/>
    </row>
    <row r="650" ht="12.75" customHeight="1">
      <c r="D650" s="64"/>
      <c r="H650" s="65"/>
    </row>
    <row r="651" ht="12.75" customHeight="1">
      <c r="D651" s="64"/>
      <c r="H651" s="65"/>
    </row>
    <row r="652" ht="12.75" customHeight="1">
      <c r="D652" s="64"/>
      <c r="H652" s="65"/>
    </row>
    <row r="653" ht="12.75" customHeight="1">
      <c r="D653" s="64"/>
      <c r="H653" s="65"/>
    </row>
    <row r="654" ht="12.75" customHeight="1">
      <c r="D654" s="64"/>
      <c r="H654" s="65"/>
    </row>
    <row r="655" ht="12.75" customHeight="1">
      <c r="D655" s="64"/>
      <c r="H655" s="65"/>
    </row>
    <row r="656" ht="12.75" customHeight="1">
      <c r="D656" s="64"/>
      <c r="H656" s="65"/>
    </row>
    <row r="657" ht="12.75" customHeight="1">
      <c r="D657" s="64"/>
      <c r="H657" s="65"/>
    </row>
    <row r="658" ht="12.75" customHeight="1">
      <c r="D658" s="64"/>
      <c r="H658" s="65"/>
    </row>
    <row r="659" ht="12.75" customHeight="1">
      <c r="D659" s="64"/>
      <c r="H659" s="65"/>
    </row>
    <row r="660" ht="12.75" customHeight="1">
      <c r="D660" s="64"/>
      <c r="H660" s="65"/>
    </row>
    <row r="661" ht="12.75" customHeight="1">
      <c r="D661" s="64"/>
      <c r="H661" s="65"/>
    </row>
    <row r="662" ht="12.75" customHeight="1">
      <c r="D662" s="64"/>
      <c r="H662" s="65"/>
    </row>
    <row r="663" ht="12.75" customHeight="1">
      <c r="D663" s="64"/>
      <c r="H663" s="65"/>
    </row>
    <row r="664" ht="12.75" customHeight="1">
      <c r="D664" s="64"/>
      <c r="H664" s="65"/>
    </row>
    <row r="665" ht="12.75" customHeight="1">
      <c r="D665" s="64"/>
      <c r="H665" s="65"/>
    </row>
    <row r="666" ht="12.75" customHeight="1">
      <c r="D666" s="64"/>
      <c r="H666" s="65"/>
    </row>
    <row r="667" ht="12.75" customHeight="1">
      <c r="D667" s="64"/>
      <c r="H667" s="65"/>
    </row>
    <row r="668" ht="12.75" customHeight="1">
      <c r="D668" s="64"/>
      <c r="H668" s="65"/>
    </row>
    <row r="669" ht="12.75" customHeight="1">
      <c r="D669" s="64"/>
      <c r="H669" s="65"/>
    </row>
    <row r="670" ht="12.75" customHeight="1">
      <c r="D670" s="64"/>
      <c r="H670" s="65"/>
    </row>
    <row r="671" ht="12.75" customHeight="1">
      <c r="D671" s="64"/>
      <c r="H671" s="65"/>
    </row>
    <row r="672" ht="12.75" customHeight="1">
      <c r="D672" s="64"/>
      <c r="H672" s="65"/>
    </row>
    <row r="673" ht="12.75" customHeight="1">
      <c r="D673" s="64"/>
      <c r="H673" s="65"/>
    </row>
    <row r="674" ht="12.75" customHeight="1">
      <c r="D674" s="64"/>
      <c r="H674" s="65"/>
    </row>
    <row r="675" ht="12.75" customHeight="1">
      <c r="D675" s="64"/>
      <c r="H675" s="65"/>
    </row>
    <row r="676" ht="12.75" customHeight="1">
      <c r="D676" s="64"/>
      <c r="H676" s="65"/>
    </row>
    <row r="677" ht="12.75" customHeight="1">
      <c r="D677" s="64"/>
      <c r="H677" s="65"/>
    </row>
    <row r="678" ht="12.75" customHeight="1">
      <c r="D678" s="64"/>
      <c r="H678" s="65"/>
    </row>
    <row r="679" ht="12.75" customHeight="1">
      <c r="D679" s="64"/>
      <c r="H679" s="65"/>
    </row>
    <row r="680" ht="12.75" customHeight="1">
      <c r="D680" s="64"/>
      <c r="H680" s="65"/>
    </row>
    <row r="681" ht="12.75" customHeight="1">
      <c r="D681" s="64"/>
      <c r="H681" s="65"/>
    </row>
    <row r="682" ht="12.75" customHeight="1">
      <c r="D682" s="64"/>
      <c r="H682" s="65"/>
    </row>
    <row r="683" ht="12.75" customHeight="1">
      <c r="D683" s="64"/>
      <c r="H683" s="65"/>
    </row>
    <row r="684" ht="12.75" customHeight="1">
      <c r="D684" s="64"/>
      <c r="H684" s="65"/>
    </row>
    <row r="685" ht="12.75" customHeight="1">
      <c r="D685" s="64"/>
      <c r="H685" s="65"/>
    </row>
    <row r="686" ht="12.75" customHeight="1">
      <c r="D686" s="64"/>
      <c r="H686" s="65"/>
    </row>
    <row r="687" ht="12.75" customHeight="1">
      <c r="D687" s="64"/>
      <c r="H687" s="65"/>
    </row>
    <row r="688" ht="12.75" customHeight="1">
      <c r="D688" s="64"/>
      <c r="H688" s="65"/>
    </row>
    <row r="689" ht="12.75" customHeight="1">
      <c r="D689" s="64"/>
      <c r="H689" s="65"/>
    </row>
    <row r="690" ht="12.75" customHeight="1">
      <c r="D690" s="64"/>
      <c r="H690" s="65"/>
    </row>
    <row r="691" ht="12.75" customHeight="1">
      <c r="D691" s="64"/>
      <c r="H691" s="65"/>
    </row>
    <row r="692" ht="12.75" customHeight="1">
      <c r="D692" s="64"/>
      <c r="H692" s="65"/>
    </row>
    <row r="693" ht="12.75" customHeight="1">
      <c r="D693" s="64"/>
      <c r="H693" s="65"/>
    </row>
    <row r="694" ht="12.75" customHeight="1">
      <c r="D694" s="64"/>
      <c r="H694" s="65"/>
    </row>
    <row r="695" ht="12.75" customHeight="1">
      <c r="D695" s="64"/>
      <c r="H695" s="65"/>
    </row>
    <row r="696" ht="12.75" customHeight="1">
      <c r="D696" s="64"/>
      <c r="H696" s="65"/>
    </row>
    <row r="697" ht="12.75" customHeight="1">
      <c r="D697" s="64"/>
      <c r="H697" s="65"/>
    </row>
    <row r="698" ht="12.75" customHeight="1">
      <c r="D698" s="64"/>
      <c r="H698" s="65"/>
    </row>
    <row r="699" ht="12.75" customHeight="1">
      <c r="D699" s="64"/>
      <c r="H699" s="65"/>
    </row>
    <row r="700" ht="12.75" customHeight="1">
      <c r="D700" s="64"/>
      <c r="H700" s="65"/>
    </row>
    <row r="701" ht="12.75" customHeight="1">
      <c r="D701" s="64"/>
      <c r="H701" s="65"/>
    </row>
    <row r="702" ht="12.75" customHeight="1">
      <c r="D702" s="64"/>
      <c r="H702" s="65"/>
    </row>
    <row r="703" ht="12.75" customHeight="1">
      <c r="D703" s="64"/>
      <c r="H703" s="65"/>
    </row>
    <row r="704" ht="12.75" customHeight="1">
      <c r="D704" s="64"/>
      <c r="H704" s="65"/>
    </row>
    <row r="705" ht="12.75" customHeight="1">
      <c r="D705" s="64"/>
      <c r="H705" s="65"/>
    </row>
    <row r="706" ht="12.75" customHeight="1">
      <c r="D706" s="64"/>
      <c r="H706" s="65"/>
    </row>
    <row r="707" ht="12.75" customHeight="1">
      <c r="D707" s="64"/>
      <c r="H707" s="65"/>
    </row>
    <row r="708" ht="12.75" customHeight="1">
      <c r="D708" s="64"/>
      <c r="H708" s="65"/>
    </row>
    <row r="709" ht="12.75" customHeight="1">
      <c r="D709" s="64"/>
      <c r="H709" s="65"/>
    </row>
    <row r="710" ht="12.75" customHeight="1">
      <c r="D710" s="64"/>
      <c r="H710" s="65"/>
    </row>
    <row r="711" ht="12.75" customHeight="1">
      <c r="D711" s="64"/>
      <c r="H711" s="65"/>
    </row>
    <row r="712" ht="12.75" customHeight="1">
      <c r="D712" s="64"/>
      <c r="H712" s="65"/>
    </row>
    <row r="713" ht="12.75" customHeight="1">
      <c r="D713" s="64"/>
      <c r="H713" s="65"/>
    </row>
    <row r="714" ht="12.75" customHeight="1">
      <c r="D714" s="64"/>
      <c r="H714" s="65"/>
    </row>
    <row r="715" ht="12.75" customHeight="1">
      <c r="D715" s="64"/>
      <c r="H715" s="65"/>
    </row>
    <row r="716" ht="12.75" customHeight="1">
      <c r="D716" s="64"/>
      <c r="H716" s="65"/>
    </row>
    <row r="717" ht="12.75" customHeight="1">
      <c r="D717" s="64"/>
      <c r="H717" s="65"/>
    </row>
    <row r="718" ht="12.75" customHeight="1">
      <c r="D718" s="64"/>
      <c r="H718" s="65"/>
    </row>
    <row r="719" ht="12.75" customHeight="1">
      <c r="D719" s="64"/>
      <c r="H719" s="65"/>
    </row>
    <row r="720" ht="12.75" customHeight="1">
      <c r="D720" s="64"/>
      <c r="H720" s="65"/>
    </row>
    <row r="721" ht="12.75" customHeight="1">
      <c r="D721" s="64"/>
      <c r="H721" s="65"/>
    </row>
    <row r="722" ht="12.75" customHeight="1">
      <c r="D722" s="64"/>
      <c r="H722" s="65"/>
    </row>
    <row r="723" ht="12.75" customHeight="1">
      <c r="D723" s="64"/>
      <c r="H723" s="65"/>
    </row>
    <row r="724" ht="12.75" customHeight="1">
      <c r="D724" s="64"/>
      <c r="H724" s="65"/>
    </row>
    <row r="725" ht="12.75" customHeight="1">
      <c r="D725" s="64"/>
      <c r="H725" s="65"/>
    </row>
    <row r="726" ht="12.75" customHeight="1">
      <c r="D726" s="64"/>
      <c r="H726" s="65"/>
    </row>
    <row r="727" ht="12.75" customHeight="1">
      <c r="D727" s="64"/>
      <c r="H727" s="65"/>
    </row>
    <row r="728" ht="12.75" customHeight="1">
      <c r="D728" s="64"/>
      <c r="H728" s="65"/>
    </row>
    <row r="729" ht="12.75" customHeight="1">
      <c r="D729" s="64"/>
      <c r="H729" s="65"/>
    </row>
    <row r="730" ht="12.75" customHeight="1">
      <c r="D730" s="64"/>
      <c r="H730" s="65"/>
    </row>
    <row r="731" ht="12.75" customHeight="1">
      <c r="D731" s="64"/>
      <c r="H731" s="65"/>
    </row>
    <row r="732" ht="12.75" customHeight="1">
      <c r="D732" s="64"/>
      <c r="H732" s="65"/>
    </row>
    <row r="733" ht="12.75" customHeight="1">
      <c r="D733" s="64"/>
      <c r="H733" s="65"/>
    </row>
    <row r="734" ht="12.75" customHeight="1">
      <c r="D734" s="64"/>
      <c r="H734" s="65"/>
    </row>
    <row r="735" ht="12.75" customHeight="1">
      <c r="D735" s="64"/>
      <c r="H735" s="65"/>
    </row>
    <row r="736" ht="12.75" customHeight="1">
      <c r="D736" s="64"/>
      <c r="H736" s="65"/>
    </row>
    <row r="737" ht="12.75" customHeight="1">
      <c r="D737" s="64"/>
      <c r="H737" s="65"/>
    </row>
    <row r="738" ht="12.75" customHeight="1">
      <c r="D738" s="64"/>
      <c r="H738" s="65"/>
    </row>
    <row r="739" ht="12.75" customHeight="1">
      <c r="D739" s="64"/>
      <c r="H739" s="65"/>
    </row>
    <row r="740" ht="12.75" customHeight="1">
      <c r="D740" s="64"/>
      <c r="H740" s="65"/>
    </row>
    <row r="741" ht="12.75" customHeight="1">
      <c r="D741" s="64"/>
      <c r="H741" s="65"/>
    </row>
    <row r="742" ht="12.75" customHeight="1">
      <c r="D742" s="64"/>
      <c r="H742" s="65"/>
    </row>
    <row r="743" ht="12.75" customHeight="1">
      <c r="D743" s="64"/>
      <c r="H743" s="65"/>
    </row>
    <row r="744" ht="12.75" customHeight="1">
      <c r="D744" s="64"/>
      <c r="H744" s="65"/>
    </row>
    <row r="745" ht="12.75" customHeight="1">
      <c r="D745" s="64"/>
      <c r="H745" s="65"/>
    </row>
    <row r="746" ht="12.75" customHeight="1">
      <c r="D746" s="64"/>
      <c r="H746" s="65"/>
    </row>
    <row r="747" ht="12.75" customHeight="1">
      <c r="D747" s="64"/>
      <c r="H747" s="65"/>
    </row>
    <row r="748" ht="12.75" customHeight="1">
      <c r="D748" s="64"/>
      <c r="H748" s="65"/>
    </row>
    <row r="749" ht="12.75" customHeight="1">
      <c r="D749" s="64"/>
      <c r="H749" s="65"/>
    </row>
    <row r="750" ht="12.75" customHeight="1">
      <c r="D750" s="64"/>
      <c r="H750" s="65"/>
    </row>
    <row r="751" ht="12.75" customHeight="1">
      <c r="D751" s="64"/>
      <c r="H751" s="65"/>
    </row>
    <row r="752" ht="12.75" customHeight="1">
      <c r="D752" s="64"/>
      <c r="H752" s="65"/>
    </row>
    <row r="753" ht="12.75" customHeight="1">
      <c r="D753" s="64"/>
      <c r="H753" s="65"/>
    </row>
    <row r="754" ht="12.75" customHeight="1">
      <c r="D754" s="64"/>
      <c r="H754" s="65"/>
    </row>
    <row r="755" ht="12.75" customHeight="1">
      <c r="D755" s="64"/>
      <c r="H755" s="65"/>
    </row>
    <row r="756" ht="12.75" customHeight="1">
      <c r="D756" s="64"/>
      <c r="H756" s="65"/>
    </row>
    <row r="757" ht="12.75" customHeight="1">
      <c r="D757" s="64"/>
      <c r="H757" s="65"/>
    </row>
    <row r="758" ht="12.75" customHeight="1">
      <c r="D758" s="64"/>
      <c r="H758" s="65"/>
    </row>
    <row r="759" ht="12.75" customHeight="1">
      <c r="D759" s="64"/>
      <c r="H759" s="65"/>
    </row>
    <row r="760" ht="12.75" customHeight="1">
      <c r="D760" s="64"/>
      <c r="H760" s="65"/>
    </row>
    <row r="761" ht="12.75" customHeight="1">
      <c r="D761" s="64"/>
      <c r="H761" s="65"/>
    </row>
    <row r="762" ht="12.75" customHeight="1">
      <c r="D762" s="64"/>
      <c r="H762" s="65"/>
    </row>
    <row r="763" ht="12.75" customHeight="1">
      <c r="D763" s="64"/>
      <c r="H763" s="65"/>
    </row>
    <row r="764" ht="12.75" customHeight="1">
      <c r="D764" s="64"/>
      <c r="H764" s="65"/>
    </row>
    <row r="765" ht="12.75" customHeight="1">
      <c r="D765" s="64"/>
      <c r="H765" s="65"/>
    </row>
    <row r="766" ht="12.75" customHeight="1">
      <c r="D766" s="64"/>
      <c r="H766" s="65"/>
    </row>
    <row r="767" ht="12.75" customHeight="1">
      <c r="D767" s="64"/>
      <c r="H767" s="65"/>
    </row>
    <row r="768" ht="12.75" customHeight="1">
      <c r="D768" s="64"/>
      <c r="H768" s="65"/>
    </row>
    <row r="769" ht="12.75" customHeight="1">
      <c r="D769" s="64"/>
      <c r="H769" s="65"/>
    </row>
    <row r="770" ht="12.75" customHeight="1">
      <c r="D770" s="64"/>
      <c r="H770" s="65"/>
    </row>
    <row r="771" ht="12.75" customHeight="1">
      <c r="D771" s="64"/>
      <c r="H771" s="65"/>
    </row>
    <row r="772" ht="12.75" customHeight="1">
      <c r="D772" s="64"/>
      <c r="H772" s="65"/>
    </row>
    <row r="773" ht="12.75" customHeight="1">
      <c r="D773" s="64"/>
      <c r="H773" s="65"/>
    </row>
    <row r="774" ht="12.75" customHeight="1">
      <c r="D774" s="64"/>
      <c r="H774" s="65"/>
    </row>
    <row r="775" ht="12.75" customHeight="1">
      <c r="D775" s="64"/>
      <c r="H775" s="65"/>
    </row>
    <row r="776" ht="12.75" customHeight="1">
      <c r="D776" s="64"/>
      <c r="H776" s="65"/>
    </row>
    <row r="777" ht="12.75" customHeight="1">
      <c r="D777" s="64"/>
      <c r="H777" s="65"/>
    </row>
    <row r="778" ht="12.75" customHeight="1">
      <c r="D778" s="64"/>
      <c r="H778" s="65"/>
    </row>
    <row r="779" ht="12.75" customHeight="1">
      <c r="D779" s="64"/>
      <c r="H779" s="65"/>
    </row>
    <row r="780" ht="12.75" customHeight="1">
      <c r="D780" s="64"/>
      <c r="H780" s="65"/>
    </row>
    <row r="781" ht="12.75" customHeight="1">
      <c r="D781" s="64"/>
      <c r="H781" s="65"/>
    </row>
    <row r="782" ht="12.75" customHeight="1">
      <c r="D782" s="64"/>
      <c r="H782" s="65"/>
    </row>
    <row r="783" ht="12.75" customHeight="1">
      <c r="D783" s="64"/>
      <c r="H783" s="65"/>
    </row>
    <row r="784" ht="12.75" customHeight="1">
      <c r="D784" s="64"/>
      <c r="H784" s="65"/>
    </row>
    <row r="785" ht="12.75" customHeight="1">
      <c r="D785" s="64"/>
      <c r="H785" s="65"/>
    </row>
    <row r="786" ht="12.75" customHeight="1">
      <c r="D786" s="64"/>
      <c r="H786" s="65"/>
    </row>
    <row r="787" ht="12.75" customHeight="1">
      <c r="D787" s="64"/>
      <c r="H787" s="65"/>
    </row>
    <row r="788" ht="12.75" customHeight="1">
      <c r="D788" s="64"/>
      <c r="H788" s="65"/>
    </row>
    <row r="789" ht="12.75" customHeight="1">
      <c r="D789" s="64"/>
      <c r="H789" s="65"/>
    </row>
    <row r="790" ht="12.75" customHeight="1">
      <c r="D790" s="64"/>
      <c r="H790" s="65"/>
    </row>
    <row r="791" ht="12.75" customHeight="1">
      <c r="D791" s="64"/>
      <c r="H791" s="65"/>
    </row>
    <row r="792" ht="12.75" customHeight="1">
      <c r="D792" s="64"/>
      <c r="H792" s="65"/>
    </row>
    <row r="793" ht="12.75" customHeight="1">
      <c r="D793" s="64"/>
      <c r="H793" s="65"/>
    </row>
    <row r="794" ht="12.75" customHeight="1">
      <c r="D794" s="64"/>
      <c r="H794" s="65"/>
    </row>
    <row r="795" ht="12.75" customHeight="1">
      <c r="D795" s="64"/>
      <c r="H795" s="65"/>
    </row>
    <row r="796" ht="12.75" customHeight="1">
      <c r="D796" s="64"/>
      <c r="H796" s="65"/>
    </row>
    <row r="797" ht="12.75" customHeight="1">
      <c r="D797" s="64"/>
      <c r="H797" s="65"/>
    </row>
    <row r="798" ht="12.75" customHeight="1">
      <c r="D798" s="64"/>
      <c r="H798" s="65"/>
    </row>
    <row r="799" ht="12.75" customHeight="1">
      <c r="D799" s="64"/>
      <c r="H799" s="65"/>
    </row>
    <row r="800" ht="12.75" customHeight="1">
      <c r="D800" s="64"/>
      <c r="H800" s="65"/>
    </row>
    <row r="801" ht="12.75" customHeight="1">
      <c r="D801" s="64"/>
      <c r="H801" s="65"/>
    </row>
    <row r="802" ht="12.75" customHeight="1">
      <c r="D802" s="64"/>
      <c r="H802" s="65"/>
    </row>
    <row r="803" ht="12.75" customHeight="1">
      <c r="D803" s="64"/>
      <c r="H803" s="65"/>
    </row>
    <row r="804" ht="12.75" customHeight="1">
      <c r="D804" s="64"/>
      <c r="H804" s="65"/>
    </row>
    <row r="805" ht="12.75" customHeight="1">
      <c r="D805" s="64"/>
      <c r="H805" s="65"/>
    </row>
    <row r="806" ht="12.75" customHeight="1">
      <c r="D806" s="64"/>
      <c r="H806" s="65"/>
    </row>
    <row r="807" ht="12.75" customHeight="1">
      <c r="D807" s="64"/>
      <c r="H807" s="65"/>
    </row>
    <row r="808" ht="12.75" customHeight="1">
      <c r="D808" s="64"/>
      <c r="H808" s="65"/>
    </row>
    <row r="809" ht="12.75" customHeight="1">
      <c r="D809" s="64"/>
      <c r="H809" s="65"/>
    </row>
    <row r="810" ht="12.75" customHeight="1">
      <c r="D810" s="64"/>
      <c r="H810" s="65"/>
    </row>
    <row r="811" ht="12.75" customHeight="1">
      <c r="D811" s="64"/>
      <c r="H811" s="65"/>
    </row>
    <row r="812" ht="12.75" customHeight="1">
      <c r="D812" s="64"/>
      <c r="H812" s="65"/>
    </row>
    <row r="813" ht="12.75" customHeight="1">
      <c r="D813" s="64"/>
      <c r="H813" s="65"/>
    </row>
    <row r="814" ht="12.75" customHeight="1">
      <c r="D814" s="64"/>
      <c r="H814" s="65"/>
    </row>
    <row r="815" ht="12.75" customHeight="1">
      <c r="D815" s="64"/>
      <c r="H815" s="65"/>
    </row>
    <row r="816" ht="12.75" customHeight="1">
      <c r="D816" s="64"/>
      <c r="H816" s="65"/>
    </row>
    <row r="817" ht="12.75" customHeight="1">
      <c r="D817" s="64"/>
      <c r="H817" s="65"/>
    </row>
    <row r="818" ht="12.75" customHeight="1">
      <c r="D818" s="64"/>
      <c r="H818" s="65"/>
    </row>
    <row r="819" ht="12.75" customHeight="1">
      <c r="D819" s="64"/>
      <c r="H819" s="65"/>
    </row>
    <row r="820" ht="12.75" customHeight="1">
      <c r="D820" s="64"/>
      <c r="H820" s="65"/>
    </row>
    <row r="821" ht="12.75" customHeight="1">
      <c r="D821" s="64"/>
      <c r="H821" s="65"/>
    </row>
    <row r="822" ht="12.75" customHeight="1">
      <c r="D822" s="64"/>
      <c r="H822" s="65"/>
    </row>
    <row r="823" ht="12.75" customHeight="1">
      <c r="D823" s="64"/>
      <c r="H823" s="65"/>
    </row>
    <row r="824" ht="12.75" customHeight="1">
      <c r="D824" s="64"/>
      <c r="H824" s="65"/>
    </row>
    <row r="825" ht="12.75" customHeight="1">
      <c r="D825" s="64"/>
      <c r="H825" s="65"/>
    </row>
    <row r="826" ht="12.75" customHeight="1">
      <c r="D826" s="64"/>
      <c r="H826" s="65"/>
    </row>
    <row r="827" ht="12.75" customHeight="1">
      <c r="D827" s="64"/>
      <c r="H827" s="65"/>
    </row>
    <row r="828" ht="12.75" customHeight="1">
      <c r="D828" s="64"/>
      <c r="H828" s="65"/>
    </row>
    <row r="829" ht="12.75" customHeight="1">
      <c r="D829" s="64"/>
      <c r="H829" s="65"/>
    </row>
    <row r="830" ht="12.75" customHeight="1">
      <c r="D830" s="64"/>
      <c r="H830" s="65"/>
    </row>
    <row r="831" ht="12.75" customHeight="1">
      <c r="D831" s="64"/>
      <c r="H831" s="65"/>
    </row>
    <row r="832" ht="12.75" customHeight="1">
      <c r="D832" s="64"/>
      <c r="H832" s="65"/>
    </row>
    <row r="833" ht="12.75" customHeight="1">
      <c r="D833" s="64"/>
      <c r="H833" s="65"/>
    </row>
    <row r="834" ht="12.75" customHeight="1">
      <c r="D834" s="64"/>
      <c r="H834" s="65"/>
    </row>
    <row r="835" ht="12.75" customHeight="1">
      <c r="D835" s="64"/>
      <c r="H835" s="65"/>
    </row>
    <row r="836" ht="12.75" customHeight="1">
      <c r="D836" s="64"/>
      <c r="H836" s="65"/>
    </row>
    <row r="837" ht="12.75" customHeight="1">
      <c r="D837" s="64"/>
      <c r="H837" s="65"/>
    </row>
    <row r="838" ht="12.75" customHeight="1">
      <c r="D838" s="64"/>
      <c r="H838" s="65"/>
    </row>
    <row r="839" ht="12.75" customHeight="1">
      <c r="D839" s="64"/>
      <c r="H839" s="65"/>
    </row>
    <row r="840" ht="12.75" customHeight="1">
      <c r="D840" s="64"/>
      <c r="H840" s="65"/>
    </row>
    <row r="841" ht="12.75" customHeight="1">
      <c r="D841" s="64"/>
      <c r="H841" s="65"/>
    </row>
    <row r="842" ht="12.75" customHeight="1">
      <c r="D842" s="64"/>
      <c r="H842" s="65"/>
    </row>
    <row r="843" ht="12.75" customHeight="1">
      <c r="D843" s="64"/>
      <c r="H843" s="65"/>
    </row>
    <row r="844" ht="12.75" customHeight="1">
      <c r="D844" s="64"/>
      <c r="H844" s="65"/>
    </row>
    <row r="845" ht="12.75" customHeight="1">
      <c r="D845" s="64"/>
      <c r="H845" s="65"/>
    </row>
    <row r="846" ht="12.75" customHeight="1">
      <c r="D846" s="64"/>
      <c r="H846" s="65"/>
    </row>
    <row r="847" ht="12.75" customHeight="1">
      <c r="D847" s="64"/>
      <c r="H847" s="65"/>
    </row>
    <row r="848" ht="12.75" customHeight="1">
      <c r="D848" s="64"/>
      <c r="H848" s="65"/>
    </row>
    <row r="849" ht="12.75" customHeight="1">
      <c r="D849" s="64"/>
      <c r="H849" s="65"/>
    </row>
    <row r="850" ht="12.75" customHeight="1">
      <c r="D850" s="64"/>
      <c r="H850" s="65"/>
    </row>
    <row r="851" ht="12.75" customHeight="1">
      <c r="D851" s="64"/>
      <c r="H851" s="65"/>
    </row>
    <row r="852" ht="12.75" customHeight="1">
      <c r="D852" s="64"/>
      <c r="H852" s="65"/>
    </row>
    <row r="853" ht="12.75" customHeight="1">
      <c r="D853" s="64"/>
      <c r="H853" s="65"/>
    </row>
    <row r="854" ht="12.75" customHeight="1">
      <c r="D854" s="64"/>
      <c r="H854" s="65"/>
    </row>
    <row r="855" ht="12.75" customHeight="1">
      <c r="D855" s="64"/>
      <c r="H855" s="65"/>
    </row>
    <row r="856" ht="12.75" customHeight="1">
      <c r="D856" s="64"/>
      <c r="H856" s="65"/>
    </row>
    <row r="857" ht="12.75" customHeight="1">
      <c r="D857" s="64"/>
      <c r="H857" s="65"/>
    </row>
    <row r="858" ht="12.75" customHeight="1">
      <c r="D858" s="64"/>
      <c r="H858" s="65"/>
    </row>
    <row r="859" ht="12.75" customHeight="1">
      <c r="D859" s="64"/>
      <c r="H859" s="65"/>
    </row>
    <row r="860" ht="12.75" customHeight="1">
      <c r="D860" s="64"/>
      <c r="H860" s="65"/>
    </row>
    <row r="861" ht="12.75" customHeight="1">
      <c r="D861" s="64"/>
      <c r="H861" s="65"/>
    </row>
    <row r="862" ht="12.75" customHeight="1">
      <c r="D862" s="64"/>
      <c r="H862" s="65"/>
    </row>
    <row r="863" ht="12.75" customHeight="1">
      <c r="D863" s="64"/>
      <c r="H863" s="65"/>
    </row>
    <row r="864" ht="12.75" customHeight="1">
      <c r="D864" s="64"/>
      <c r="H864" s="65"/>
    </row>
    <row r="865" ht="12.75" customHeight="1">
      <c r="D865" s="64"/>
      <c r="H865" s="65"/>
    </row>
    <row r="866" ht="12.75" customHeight="1">
      <c r="D866" s="64"/>
      <c r="H866" s="65"/>
    </row>
    <row r="867" ht="12.75" customHeight="1">
      <c r="D867" s="64"/>
      <c r="H867" s="65"/>
    </row>
    <row r="868" ht="12.75" customHeight="1">
      <c r="D868" s="64"/>
      <c r="H868" s="65"/>
    </row>
    <row r="869" ht="12.75" customHeight="1">
      <c r="D869" s="64"/>
      <c r="H869" s="65"/>
    </row>
    <row r="870" ht="12.75" customHeight="1">
      <c r="D870" s="64"/>
      <c r="H870" s="65"/>
    </row>
    <row r="871" ht="12.75" customHeight="1">
      <c r="D871" s="64"/>
      <c r="H871" s="65"/>
    </row>
    <row r="872" ht="12.75" customHeight="1">
      <c r="D872" s="64"/>
      <c r="H872" s="65"/>
    </row>
    <row r="873" ht="12.75" customHeight="1">
      <c r="D873" s="64"/>
      <c r="H873" s="65"/>
    </row>
    <row r="874" ht="12.75" customHeight="1">
      <c r="D874" s="64"/>
      <c r="H874" s="65"/>
    </row>
    <row r="875" ht="12.75" customHeight="1">
      <c r="D875" s="64"/>
      <c r="H875" s="65"/>
    </row>
    <row r="876" ht="12.75" customHeight="1">
      <c r="D876" s="64"/>
      <c r="H876" s="65"/>
    </row>
    <row r="877" ht="12.75" customHeight="1">
      <c r="D877" s="64"/>
      <c r="H877" s="65"/>
    </row>
    <row r="878" ht="12.75" customHeight="1">
      <c r="D878" s="64"/>
      <c r="H878" s="65"/>
    </row>
    <row r="879" ht="12.75" customHeight="1">
      <c r="D879" s="64"/>
      <c r="H879" s="65"/>
    </row>
    <row r="880" ht="12.75" customHeight="1">
      <c r="D880" s="64"/>
      <c r="H880" s="65"/>
    </row>
    <row r="881" ht="12.75" customHeight="1">
      <c r="D881" s="64"/>
      <c r="H881" s="65"/>
    </row>
    <row r="882" ht="12.75" customHeight="1">
      <c r="D882" s="64"/>
      <c r="H882" s="65"/>
    </row>
    <row r="883" ht="12.75" customHeight="1">
      <c r="D883" s="64"/>
      <c r="H883" s="65"/>
    </row>
    <row r="884" ht="12.75" customHeight="1">
      <c r="D884" s="64"/>
      <c r="H884" s="65"/>
    </row>
    <row r="885" ht="12.75" customHeight="1">
      <c r="D885" s="64"/>
      <c r="H885" s="65"/>
    </row>
    <row r="886" ht="12.75" customHeight="1">
      <c r="D886" s="64"/>
      <c r="H886" s="65"/>
    </row>
    <row r="887" ht="12.75" customHeight="1">
      <c r="D887" s="64"/>
      <c r="H887" s="65"/>
    </row>
    <row r="888" ht="12.75" customHeight="1">
      <c r="D888" s="64"/>
      <c r="H888" s="65"/>
    </row>
    <row r="889" ht="12.75" customHeight="1">
      <c r="D889" s="64"/>
      <c r="H889" s="65"/>
    </row>
    <row r="890" ht="12.75" customHeight="1">
      <c r="D890" s="64"/>
      <c r="H890" s="65"/>
    </row>
    <row r="891" ht="12.75" customHeight="1">
      <c r="D891" s="64"/>
      <c r="H891" s="65"/>
    </row>
    <row r="892" ht="12.75" customHeight="1">
      <c r="D892" s="64"/>
      <c r="H892" s="65"/>
    </row>
    <row r="893" ht="12.75" customHeight="1">
      <c r="D893" s="64"/>
      <c r="H893" s="65"/>
    </row>
    <row r="894" ht="12.75" customHeight="1">
      <c r="D894" s="64"/>
      <c r="H894" s="65"/>
    </row>
    <row r="895" ht="12.75" customHeight="1">
      <c r="D895" s="64"/>
      <c r="H895" s="65"/>
    </row>
    <row r="896" ht="12.75" customHeight="1">
      <c r="D896" s="64"/>
      <c r="H896" s="65"/>
    </row>
    <row r="897" ht="12.75" customHeight="1">
      <c r="D897" s="64"/>
      <c r="H897" s="65"/>
    </row>
    <row r="898" ht="12.75" customHeight="1">
      <c r="D898" s="64"/>
      <c r="H898" s="65"/>
    </row>
    <row r="899" ht="12.75" customHeight="1">
      <c r="D899" s="64"/>
      <c r="H899" s="65"/>
    </row>
    <row r="900" ht="12.75" customHeight="1">
      <c r="D900" s="64"/>
      <c r="H900" s="65"/>
    </row>
    <row r="901" ht="12.75" customHeight="1">
      <c r="D901" s="64"/>
      <c r="H901" s="65"/>
    </row>
    <row r="902" ht="12.75" customHeight="1">
      <c r="D902" s="64"/>
      <c r="H902" s="65"/>
    </row>
    <row r="903" ht="12.75" customHeight="1">
      <c r="D903" s="64"/>
      <c r="H903" s="65"/>
    </row>
    <row r="904" ht="12.75" customHeight="1">
      <c r="D904" s="64"/>
      <c r="H904" s="65"/>
    </row>
    <row r="905" ht="12.75" customHeight="1">
      <c r="D905" s="64"/>
      <c r="H905" s="65"/>
    </row>
    <row r="906" ht="12.75" customHeight="1">
      <c r="D906" s="64"/>
      <c r="H906" s="65"/>
    </row>
    <row r="907" ht="12.75" customHeight="1">
      <c r="D907" s="64"/>
      <c r="H907" s="65"/>
    </row>
    <row r="908" ht="12.75" customHeight="1">
      <c r="D908" s="64"/>
      <c r="H908" s="65"/>
    </row>
    <row r="909" ht="12.75" customHeight="1">
      <c r="D909" s="64"/>
      <c r="H909" s="65"/>
    </row>
    <row r="910" ht="12.75" customHeight="1">
      <c r="D910" s="64"/>
      <c r="H910" s="65"/>
    </row>
    <row r="911" ht="12.75" customHeight="1">
      <c r="D911" s="64"/>
      <c r="H911" s="65"/>
    </row>
    <row r="912" ht="12.75" customHeight="1">
      <c r="D912" s="64"/>
      <c r="H912" s="65"/>
    </row>
    <row r="913" ht="12.75" customHeight="1">
      <c r="D913" s="64"/>
      <c r="H913" s="65"/>
    </row>
    <row r="914" ht="12.75" customHeight="1">
      <c r="D914" s="64"/>
      <c r="H914" s="65"/>
    </row>
    <row r="915" ht="12.75" customHeight="1">
      <c r="D915" s="64"/>
      <c r="H915" s="65"/>
    </row>
    <row r="916" ht="12.75" customHeight="1">
      <c r="D916" s="64"/>
      <c r="H916" s="65"/>
    </row>
    <row r="917" ht="12.75" customHeight="1">
      <c r="D917" s="64"/>
      <c r="H917" s="65"/>
    </row>
    <row r="918" ht="12.75" customHeight="1">
      <c r="D918" s="64"/>
      <c r="H918" s="65"/>
    </row>
    <row r="919" ht="12.75" customHeight="1">
      <c r="D919" s="64"/>
      <c r="H919" s="65"/>
    </row>
    <row r="920" ht="12.75" customHeight="1">
      <c r="D920" s="64"/>
      <c r="H920" s="65"/>
    </row>
    <row r="921" ht="12.75" customHeight="1">
      <c r="D921" s="64"/>
      <c r="H921" s="65"/>
    </row>
    <row r="922" ht="12.75" customHeight="1">
      <c r="D922" s="64"/>
      <c r="H922" s="65"/>
    </row>
    <row r="923" ht="12.75" customHeight="1">
      <c r="D923" s="64"/>
      <c r="H923" s="65"/>
    </row>
    <row r="924" ht="12.75" customHeight="1">
      <c r="D924" s="64"/>
      <c r="H924" s="65"/>
    </row>
    <row r="925" ht="12.75" customHeight="1">
      <c r="D925" s="64"/>
      <c r="H925" s="65"/>
    </row>
    <row r="926" ht="12.75" customHeight="1">
      <c r="D926" s="64"/>
      <c r="H926" s="65"/>
    </row>
    <row r="927" ht="12.75" customHeight="1">
      <c r="D927" s="64"/>
      <c r="H927" s="65"/>
    </row>
    <row r="928" ht="12.75" customHeight="1">
      <c r="D928" s="64"/>
      <c r="H928" s="65"/>
    </row>
    <row r="929" ht="12.75" customHeight="1">
      <c r="D929" s="64"/>
      <c r="H929" s="65"/>
    </row>
    <row r="930" ht="12.75" customHeight="1">
      <c r="D930" s="64"/>
      <c r="H930" s="65"/>
    </row>
    <row r="931" ht="12.75" customHeight="1">
      <c r="D931" s="64"/>
      <c r="H931" s="65"/>
    </row>
    <row r="932" ht="12.75" customHeight="1">
      <c r="D932" s="64"/>
      <c r="H932" s="65"/>
    </row>
    <row r="933" ht="12.75" customHeight="1">
      <c r="D933" s="64"/>
      <c r="H933" s="65"/>
    </row>
    <row r="934" ht="12.75" customHeight="1">
      <c r="D934" s="64"/>
      <c r="H934" s="65"/>
    </row>
    <row r="935" ht="12.75" customHeight="1">
      <c r="D935" s="64"/>
      <c r="H935" s="65"/>
    </row>
    <row r="936" ht="12.75" customHeight="1">
      <c r="D936" s="64"/>
      <c r="H936" s="65"/>
    </row>
    <row r="937" ht="12.75" customHeight="1">
      <c r="D937" s="64"/>
      <c r="H937" s="65"/>
    </row>
    <row r="938" ht="12.75" customHeight="1">
      <c r="D938" s="64"/>
      <c r="H938" s="65"/>
    </row>
    <row r="939" ht="12.75" customHeight="1">
      <c r="D939" s="64"/>
      <c r="H939" s="65"/>
    </row>
    <row r="940" ht="12.75" customHeight="1">
      <c r="D940" s="64"/>
      <c r="H940" s="65"/>
    </row>
    <row r="941" ht="12.75" customHeight="1">
      <c r="D941" s="64"/>
      <c r="H941" s="65"/>
    </row>
    <row r="942" ht="12.75" customHeight="1">
      <c r="D942" s="64"/>
      <c r="H942" s="65"/>
    </row>
    <row r="943" ht="12.75" customHeight="1">
      <c r="D943" s="64"/>
      <c r="H943" s="65"/>
    </row>
    <row r="944" ht="12.75" customHeight="1">
      <c r="D944" s="64"/>
      <c r="H944" s="65"/>
    </row>
    <row r="945" ht="12.75" customHeight="1">
      <c r="D945" s="64"/>
      <c r="H945" s="65"/>
    </row>
    <row r="946" ht="12.75" customHeight="1">
      <c r="D946" s="64"/>
      <c r="H946" s="65"/>
    </row>
    <row r="947" ht="12.75" customHeight="1">
      <c r="D947" s="64"/>
      <c r="H947" s="65"/>
    </row>
    <row r="948" ht="12.75" customHeight="1">
      <c r="D948" s="64"/>
      <c r="H948" s="65"/>
    </row>
    <row r="949" ht="12.75" customHeight="1">
      <c r="D949" s="64"/>
      <c r="H949" s="65"/>
    </row>
    <row r="950" ht="12.75" customHeight="1">
      <c r="D950" s="64"/>
      <c r="H950" s="65"/>
    </row>
    <row r="951" ht="12.75" customHeight="1">
      <c r="D951" s="64"/>
      <c r="H951" s="65"/>
    </row>
    <row r="952" ht="12.75" customHeight="1">
      <c r="D952" s="64"/>
      <c r="H952" s="65"/>
    </row>
    <row r="953" ht="12.75" customHeight="1">
      <c r="D953" s="64"/>
      <c r="H953" s="65"/>
    </row>
    <row r="954" ht="12.75" customHeight="1">
      <c r="D954" s="64"/>
      <c r="H954" s="65"/>
    </row>
    <row r="955" ht="12.75" customHeight="1">
      <c r="D955" s="64"/>
      <c r="H955" s="65"/>
    </row>
    <row r="956" ht="12.75" customHeight="1">
      <c r="D956" s="64"/>
      <c r="H956" s="65"/>
    </row>
    <row r="957" ht="12.75" customHeight="1">
      <c r="D957" s="64"/>
      <c r="H957" s="65"/>
    </row>
    <row r="958" ht="12.75" customHeight="1">
      <c r="D958" s="64"/>
      <c r="H958" s="65"/>
    </row>
    <row r="959" ht="12.75" customHeight="1">
      <c r="D959" s="64"/>
      <c r="H959" s="65"/>
    </row>
    <row r="960" ht="12.75" customHeight="1">
      <c r="D960" s="64"/>
      <c r="H960" s="65"/>
    </row>
    <row r="961" ht="12.75" customHeight="1">
      <c r="D961" s="64"/>
      <c r="H961" s="65"/>
    </row>
    <row r="962" ht="12.75" customHeight="1">
      <c r="D962" s="64"/>
      <c r="H962" s="65"/>
    </row>
    <row r="963" ht="12.75" customHeight="1">
      <c r="D963" s="64"/>
      <c r="H963" s="65"/>
    </row>
    <row r="964" ht="12.75" customHeight="1">
      <c r="D964" s="64"/>
      <c r="H964" s="65"/>
    </row>
    <row r="965" ht="12.75" customHeight="1">
      <c r="D965" s="64"/>
      <c r="H965" s="65"/>
    </row>
    <row r="966" ht="12.75" customHeight="1">
      <c r="D966" s="64"/>
      <c r="H966" s="65"/>
    </row>
    <row r="967" ht="12.75" customHeight="1">
      <c r="D967" s="64"/>
      <c r="H967" s="65"/>
    </row>
    <row r="968" ht="12.75" customHeight="1">
      <c r="D968" s="64"/>
      <c r="H968" s="65"/>
    </row>
    <row r="969" ht="12.75" customHeight="1">
      <c r="D969" s="64"/>
      <c r="H969" s="65"/>
    </row>
    <row r="970" ht="12.75" customHeight="1">
      <c r="D970" s="64"/>
      <c r="H970" s="65"/>
    </row>
    <row r="971" ht="12.75" customHeight="1">
      <c r="D971" s="64"/>
      <c r="H971" s="65"/>
    </row>
    <row r="972" ht="12.75" customHeight="1">
      <c r="D972" s="64"/>
      <c r="H972" s="65"/>
    </row>
    <row r="973" ht="12.75" customHeight="1">
      <c r="D973" s="64"/>
      <c r="H973" s="65"/>
    </row>
    <row r="974" ht="12.75" customHeight="1">
      <c r="D974" s="64"/>
      <c r="H974" s="65"/>
    </row>
    <row r="975" ht="12.75" customHeight="1">
      <c r="D975" s="64"/>
      <c r="H975" s="65"/>
    </row>
    <row r="976" ht="12.75" customHeight="1">
      <c r="D976" s="64"/>
      <c r="H976" s="65"/>
    </row>
    <row r="977" ht="12.75" customHeight="1">
      <c r="D977" s="64"/>
      <c r="H977" s="65"/>
    </row>
    <row r="978" ht="12.75" customHeight="1">
      <c r="D978" s="64"/>
      <c r="H978" s="65"/>
    </row>
    <row r="979" ht="12.75" customHeight="1">
      <c r="D979" s="64"/>
      <c r="H979" s="65"/>
    </row>
    <row r="980" ht="12.75" customHeight="1">
      <c r="D980" s="64"/>
      <c r="H980" s="65"/>
    </row>
    <row r="981" ht="12.75" customHeight="1">
      <c r="D981" s="64"/>
      <c r="H981" s="65"/>
    </row>
    <row r="982" ht="12.75" customHeight="1">
      <c r="D982" s="64"/>
      <c r="H982" s="65"/>
    </row>
    <row r="983" ht="12.75" customHeight="1">
      <c r="D983" s="64"/>
      <c r="H983" s="65"/>
    </row>
    <row r="984" ht="12.75" customHeight="1">
      <c r="D984" s="64"/>
      <c r="H984" s="65"/>
    </row>
    <row r="985" ht="12.75" customHeight="1">
      <c r="D985" s="64"/>
      <c r="H985" s="65"/>
    </row>
    <row r="986" ht="12.75" customHeight="1">
      <c r="D986" s="64"/>
      <c r="H986" s="65"/>
    </row>
    <row r="987" ht="12.75" customHeight="1">
      <c r="D987" s="64"/>
      <c r="H987" s="65"/>
    </row>
    <row r="988" ht="12.75" customHeight="1">
      <c r="D988" s="64"/>
      <c r="H988" s="65"/>
    </row>
    <row r="989" ht="12.75" customHeight="1">
      <c r="D989" s="64"/>
      <c r="H989" s="65"/>
    </row>
    <row r="990" ht="12.75" customHeight="1">
      <c r="D990" s="64"/>
      <c r="H990" s="65"/>
    </row>
    <row r="991" ht="12.75" customHeight="1">
      <c r="D991" s="64"/>
      <c r="H991" s="65"/>
    </row>
    <row r="992" ht="12.75" customHeight="1">
      <c r="D992" s="64"/>
      <c r="H992" s="65"/>
    </row>
    <row r="993" ht="12.75" customHeight="1">
      <c r="D993" s="64"/>
      <c r="H993" s="65"/>
    </row>
    <row r="994" ht="12.75" customHeight="1">
      <c r="D994" s="64"/>
      <c r="H994" s="65"/>
    </row>
    <row r="995" ht="12.75" customHeight="1">
      <c r="D995" s="64"/>
      <c r="H995" s="65"/>
    </row>
    <row r="996" ht="12.75" customHeight="1">
      <c r="D996" s="64"/>
      <c r="H996" s="65"/>
    </row>
    <row r="997" ht="12.75" customHeight="1">
      <c r="D997" s="64"/>
      <c r="H997" s="65"/>
    </row>
    <row r="998" ht="12.75" customHeight="1">
      <c r="D998" s="64"/>
      <c r="H998" s="65"/>
    </row>
    <row r="999" ht="12.75" customHeight="1">
      <c r="D999" s="64"/>
      <c r="H999" s="65"/>
    </row>
    <row r="1000" ht="12.75" customHeight="1">
      <c r="D1000" s="64"/>
      <c r="H1000" s="65"/>
    </row>
  </sheetData>
  <conditionalFormatting sqref="H2:H132">
    <cfRule type="cellIs" dxfId="5" priority="1" stopIfTrue="1" operator="greaterThan">
      <formula>0.001388888889</formula>
    </cfRule>
  </conditionalFormatting>
  <conditionalFormatting sqref="A1:G1000 I1:P1000">
    <cfRule type="cellIs" dxfId="4" priority="2" stopIfTrue="1" operator="greaterThan">
      <formula>question0.002</formula>
    </cfRule>
  </conditionalFormatting>
  <conditionalFormatting sqref="R14">
    <cfRule type="containsText" dxfId="6" priority="3" operator="containsText" text="Ajay Paramshali">
      <formula>NOT(ISERROR(SEARCH(("Ajay Paramshali"),(R14))))</formula>
    </cfRule>
  </conditionalFormatting>
  <conditionalFormatting sqref="A1:A1000">
    <cfRule type="containsText" dxfId="7" priority="4" operator="containsText" text="Ajay Paramshali">
      <formula>NOT(ISERROR(SEARCH(("Ajay Paramshali"),(A1))))</formula>
    </cfRule>
  </conditionalFormatting>
  <conditionalFormatting sqref="H1:H1000">
    <cfRule type="cellIs" dxfId="8" priority="5" operator="greaterThan">
      <formula>"0.01.31"</formula>
    </cfRule>
  </conditionalFormatting>
  <printOptions/>
  <pageMargins bottom="1.0" footer="0.0" header="0.0" left="0.75" right="0.75" top="1.0"/>
  <pageSetup orientation="portrait"/>
  <headerFooter>
    <oddFooter>&amp;CSerco Internal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</sheetData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sheetData>
    <row r="1">
      <c r="A1" s="67" t="s">
        <v>166</v>
      </c>
      <c r="B1" s="68" t="s">
        <v>167</v>
      </c>
      <c r="C1" s="69" t="s">
        <v>168</v>
      </c>
      <c r="D1" s="68" t="s">
        <v>169</v>
      </c>
      <c r="E1" s="68" t="s">
        <v>170</v>
      </c>
      <c r="F1" s="68" t="s">
        <v>171</v>
      </c>
      <c r="G1" s="68" t="s">
        <v>172</v>
      </c>
      <c r="H1" s="68" t="s">
        <v>173</v>
      </c>
      <c r="I1" s="70" t="s">
        <v>174</v>
      </c>
      <c r="J1" s="70" t="s">
        <v>175</v>
      </c>
      <c r="K1" s="70" t="s">
        <v>176</v>
      </c>
      <c r="L1" s="68" t="s">
        <v>177</v>
      </c>
      <c r="M1" s="68" t="s">
        <v>178</v>
      </c>
      <c r="N1" s="71" t="s">
        <v>179</v>
      </c>
      <c r="O1" s="72" t="s">
        <v>68</v>
      </c>
      <c r="P1" s="73" t="s">
        <v>69</v>
      </c>
    </row>
    <row r="2">
      <c r="A2" s="74" t="s">
        <v>72</v>
      </c>
      <c r="B2" s="75" t="s">
        <v>180</v>
      </c>
      <c r="C2" s="76">
        <v>876359.0</v>
      </c>
      <c r="D2" s="76" t="s">
        <v>19</v>
      </c>
      <c r="E2" s="75" t="s">
        <v>181</v>
      </c>
      <c r="F2" s="77">
        <v>40280.0</v>
      </c>
      <c r="G2" s="75">
        <v>318.0</v>
      </c>
      <c r="H2" s="78">
        <v>0.00105174847775093</v>
      </c>
      <c r="I2" s="79">
        <v>1.38888888888889E-4</v>
      </c>
      <c r="J2" s="79">
        <v>0.0457175925925926</v>
      </c>
      <c r="K2" s="79">
        <v>0.374895833333333</v>
      </c>
      <c r="L2" s="75">
        <v>2.0</v>
      </c>
      <c r="M2" s="75">
        <v>3.0</v>
      </c>
      <c r="N2" s="80">
        <v>1.0</v>
      </c>
      <c r="O2" s="80">
        <v>1.4811320754717</v>
      </c>
      <c r="P2" s="81">
        <v>0.995753715498938</v>
      </c>
    </row>
    <row r="3">
      <c r="A3" s="74" t="s">
        <v>77</v>
      </c>
      <c r="B3" s="75" t="s">
        <v>183</v>
      </c>
      <c r="C3" s="76">
        <v>876377.0</v>
      </c>
      <c r="D3" s="76" t="s">
        <v>19</v>
      </c>
      <c r="E3" s="75" t="s">
        <v>181</v>
      </c>
      <c r="F3" s="77">
        <v>40281.0</v>
      </c>
      <c r="G3" s="75">
        <v>141.0</v>
      </c>
      <c r="H3" s="78">
        <v>0.00180580186347384</v>
      </c>
      <c r="I3" s="79">
        <v>6.94444444444444E-5</v>
      </c>
      <c r="J3" s="79">
        <v>0.0234953703703704</v>
      </c>
      <c r="K3" s="79">
        <v>0.290821759259259</v>
      </c>
      <c r="L3" s="75">
        <v>3.0</v>
      </c>
      <c r="M3" s="75">
        <v>3.0</v>
      </c>
      <c r="N3" s="80">
        <v>1.0</v>
      </c>
      <c r="O3" s="80">
        <v>1.49645390070922</v>
      </c>
      <c r="P3" s="81">
        <v>0.990521327014218</v>
      </c>
    </row>
    <row r="4">
      <c r="A4" s="74" t="s">
        <v>78</v>
      </c>
      <c r="B4" s="75" t="s">
        <v>183</v>
      </c>
      <c r="C4" s="76">
        <v>876337.0</v>
      </c>
      <c r="D4" s="76" t="s">
        <v>19</v>
      </c>
      <c r="E4" s="75" t="s">
        <v>184</v>
      </c>
      <c r="F4" s="77">
        <v>40281.0</v>
      </c>
      <c r="G4" s="75">
        <v>190.0</v>
      </c>
      <c r="H4" s="78">
        <v>0.00175322850545139</v>
      </c>
      <c r="I4" s="79">
        <v>7.87037037037037E-4</v>
      </c>
      <c r="J4" s="79">
        <v>0.034224537037037</v>
      </c>
      <c r="K4" s="79">
        <v>0.374178240740741</v>
      </c>
      <c r="L4" s="75">
        <v>3.0</v>
      </c>
      <c r="M4" s="75">
        <v>4.0</v>
      </c>
      <c r="N4" s="80">
        <v>1.0</v>
      </c>
      <c r="O4" s="80">
        <v>0.873684210526316</v>
      </c>
      <c r="P4" s="81">
        <v>0.957831325301205</v>
      </c>
    </row>
    <row r="5">
      <c r="A5" s="74" t="s">
        <v>78</v>
      </c>
      <c r="B5" s="75" t="s">
        <v>183</v>
      </c>
      <c r="C5" s="76">
        <v>876337.0</v>
      </c>
      <c r="D5" s="76" t="s">
        <v>19</v>
      </c>
      <c r="E5" s="75" t="s">
        <v>181</v>
      </c>
      <c r="F5" s="77">
        <v>40280.0</v>
      </c>
      <c r="G5" s="75">
        <v>165.0</v>
      </c>
      <c r="H5" s="78">
        <v>0.00164856910706019</v>
      </c>
      <c r="I5" s="79">
        <v>8.10185185185185E-5</v>
      </c>
      <c r="J5" s="79">
        <v>0.0309490740740741</v>
      </c>
      <c r="K5" s="79">
        <v>0.37349537037037</v>
      </c>
      <c r="L5" s="75">
        <v>2.0</v>
      </c>
      <c r="M5" s="75">
        <v>2.0</v>
      </c>
      <c r="N5" s="80">
        <v>1.0</v>
      </c>
      <c r="O5" s="80">
        <v>1.00606060606061</v>
      </c>
      <c r="P5" s="81">
        <v>0.957831325301205</v>
      </c>
    </row>
    <row r="6">
      <c r="A6" s="74" t="s">
        <v>88</v>
      </c>
      <c r="B6" s="75" t="s">
        <v>183</v>
      </c>
      <c r="C6" s="76">
        <v>876396.0</v>
      </c>
      <c r="D6" s="76" t="s">
        <v>19</v>
      </c>
      <c r="E6" s="75" t="s">
        <v>181</v>
      </c>
      <c r="F6" s="77">
        <v>40280.0</v>
      </c>
      <c r="G6" s="75">
        <v>145.0</v>
      </c>
      <c r="H6" s="78">
        <v>0.00211773625126157</v>
      </c>
      <c r="I6" s="79">
        <v>7.63888888888889E-4</v>
      </c>
      <c r="J6" s="79">
        <v>0.0658217592592593</v>
      </c>
      <c r="K6" s="79">
        <v>0.362488425925926</v>
      </c>
      <c r="L6" s="75">
        <v>3.0</v>
      </c>
      <c r="M6" s="75">
        <v>4.0</v>
      </c>
      <c r="N6" s="80">
        <v>0.5</v>
      </c>
      <c r="O6" s="80">
        <v>0.83448275862069</v>
      </c>
      <c r="P6" s="81">
        <v>1.0</v>
      </c>
    </row>
    <row r="7">
      <c r="A7" s="74" t="s">
        <v>89</v>
      </c>
      <c r="B7" s="75" t="s">
        <v>183</v>
      </c>
      <c r="C7" s="76">
        <v>876335.0</v>
      </c>
      <c r="D7" s="76" t="s">
        <v>19</v>
      </c>
      <c r="E7" s="75" t="s">
        <v>181</v>
      </c>
      <c r="F7" s="77">
        <v>40280.0</v>
      </c>
      <c r="G7" s="75">
        <v>219.0</v>
      </c>
      <c r="H7" s="78">
        <v>0.00114720744943218</v>
      </c>
      <c r="I7" s="79">
        <v>1.04166666666667E-4</v>
      </c>
      <c r="J7" s="79">
        <v>0.031875</v>
      </c>
      <c r="K7" s="79">
        <v>0.3621875</v>
      </c>
      <c r="L7" s="75">
        <v>2.0</v>
      </c>
      <c r="M7" s="75">
        <v>3.0</v>
      </c>
      <c r="N7" s="80">
        <v>1.0</v>
      </c>
      <c r="O7" s="80">
        <v>1.22374429223744</v>
      </c>
      <c r="P7" s="81">
        <v>0.98134328358209</v>
      </c>
    </row>
    <row r="8">
      <c r="A8" s="74" t="s">
        <v>6</v>
      </c>
      <c r="B8" s="75" t="s">
        <v>183</v>
      </c>
      <c r="C8" s="76">
        <v>876387.0</v>
      </c>
      <c r="D8" s="76" t="s">
        <v>19</v>
      </c>
      <c r="E8" s="75" t="s">
        <v>181</v>
      </c>
      <c r="F8" s="77">
        <v>40281.0</v>
      </c>
      <c r="G8" s="75">
        <v>180.0</v>
      </c>
      <c r="H8" s="78">
        <v>0.00192573303426238</v>
      </c>
      <c r="I8" s="79">
        <v>2.89351851851852E-4</v>
      </c>
      <c r="J8" s="79">
        <v>0.0309837962962963</v>
      </c>
      <c r="K8" s="79">
        <v>0.380740740740741</v>
      </c>
      <c r="L8" s="75">
        <v>2.0</v>
      </c>
      <c r="M8" s="75">
        <v>5.0</v>
      </c>
      <c r="N8" s="80">
        <v>1.0</v>
      </c>
      <c r="O8" s="80">
        <v>1.03333333333333</v>
      </c>
      <c r="P8" s="81">
        <v>0.973118279569892</v>
      </c>
    </row>
    <row r="9">
      <c r="A9" s="74" t="s">
        <v>90</v>
      </c>
      <c r="B9" s="75" t="s">
        <v>183</v>
      </c>
      <c r="C9" s="76">
        <v>876351.0</v>
      </c>
      <c r="D9" s="76" t="s">
        <v>19</v>
      </c>
      <c r="E9" s="75" t="s">
        <v>181</v>
      </c>
      <c r="F9" s="77">
        <v>40281.0</v>
      </c>
      <c r="G9" s="75">
        <v>66.0</v>
      </c>
      <c r="H9" s="78">
        <v>0.00187727981143519</v>
      </c>
      <c r="I9" s="79">
        <v>0.0</v>
      </c>
      <c r="J9" s="79">
        <v>5.78703703703704E-5</v>
      </c>
      <c r="K9" s="79">
        <v>0.127581018518519</v>
      </c>
      <c r="L9" s="75">
        <v>0.0</v>
      </c>
      <c r="M9" s="75">
        <v>0.0</v>
      </c>
      <c r="N9" s="80">
        <v>1.0</v>
      </c>
      <c r="O9" s="80">
        <v>1.06060606060606</v>
      </c>
      <c r="P9" s="81">
        <v>0.971428571428571</v>
      </c>
    </row>
    <row r="10">
      <c r="A10" s="74" t="s">
        <v>91</v>
      </c>
      <c r="B10" s="75" t="s">
        <v>183</v>
      </c>
      <c r="C10" s="76">
        <v>873288.0</v>
      </c>
      <c r="D10" s="76" t="s">
        <v>19</v>
      </c>
      <c r="E10" s="75" t="s">
        <v>193</v>
      </c>
      <c r="F10" s="77">
        <v>40281.0</v>
      </c>
      <c r="G10" s="75">
        <v>180.0</v>
      </c>
      <c r="H10" s="78">
        <v>0.00173765429744213</v>
      </c>
      <c r="I10" s="79">
        <v>0.0</v>
      </c>
      <c r="J10" s="79">
        <v>0.0284606481481481</v>
      </c>
      <c r="K10" s="79">
        <v>0.34619212962963</v>
      </c>
      <c r="L10" s="75">
        <v>0.0</v>
      </c>
      <c r="M10" s="75">
        <v>0.0</v>
      </c>
      <c r="N10" s="80">
        <v>1.0</v>
      </c>
      <c r="O10" s="80">
        <v>0.994444444444444</v>
      </c>
      <c r="P10" s="81">
        <v>0.932960893854749</v>
      </c>
    </row>
    <row r="11">
      <c r="A11" s="74" t="s">
        <v>92</v>
      </c>
      <c r="B11" s="75" t="s">
        <v>183</v>
      </c>
      <c r="C11" s="76">
        <v>876382.0</v>
      </c>
      <c r="D11" s="76" t="s">
        <v>19</v>
      </c>
      <c r="E11" s="75" t="s">
        <v>181</v>
      </c>
      <c r="F11" s="77">
        <v>40281.0</v>
      </c>
      <c r="G11" s="75">
        <v>271.0</v>
      </c>
      <c r="H11" s="78">
        <v>9.64790891717593E-4</v>
      </c>
      <c r="I11" s="79">
        <v>9.25925925925926E-5</v>
      </c>
      <c r="J11" s="79">
        <v>0.0230324074074074</v>
      </c>
      <c r="K11" s="79">
        <v>0.380196759259259</v>
      </c>
      <c r="L11" s="75">
        <v>4.0</v>
      </c>
      <c r="M11" s="75">
        <v>4.0</v>
      </c>
      <c r="N11" s="80">
        <v>1.0</v>
      </c>
      <c r="O11" s="80">
        <v>0.915129151291513</v>
      </c>
      <c r="P11" s="81">
        <v>0.995967741935484</v>
      </c>
    </row>
    <row r="12">
      <c r="A12" s="74" t="s">
        <v>93</v>
      </c>
      <c r="B12" s="75" t="s">
        <v>183</v>
      </c>
      <c r="C12" s="76">
        <v>873304.0</v>
      </c>
      <c r="D12" s="76" t="s">
        <v>19</v>
      </c>
      <c r="E12" s="75" t="s">
        <v>193</v>
      </c>
      <c r="F12" s="77">
        <v>40281.0</v>
      </c>
      <c r="G12" s="75">
        <v>111.0</v>
      </c>
      <c r="H12" s="78">
        <v>0.0025591216815787</v>
      </c>
      <c r="I12" s="79">
        <v>4.05092592592593E-4</v>
      </c>
      <c r="J12" s="79">
        <v>0.0298842592592593</v>
      </c>
      <c r="K12" s="79">
        <v>0.30681712962963</v>
      </c>
      <c r="L12" s="75">
        <v>2.0</v>
      </c>
      <c r="M12" s="75">
        <v>3.0</v>
      </c>
      <c r="N12" s="80">
        <v>1.0</v>
      </c>
      <c r="O12" s="80">
        <v>0.936936936936937</v>
      </c>
      <c r="P12" s="81">
        <v>0.971153846153846</v>
      </c>
    </row>
    <row r="13">
      <c r="A13" s="74" t="s">
        <v>11</v>
      </c>
      <c r="B13" s="75" t="s">
        <v>183</v>
      </c>
      <c r="C13" s="76">
        <v>873297.0</v>
      </c>
      <c r="D13" s="76" t="s">
        <v>19</v>
      </c>
      <c r="E13" s="75" t="s">
        <v>193</v>
      </c>
      <c r="F13" s="77">
        <v>40281.0</v>
      </c>
      <c r="G13" s="75">
        <v>157.0</v>
      </c>
      <c r="H13" s="78">
        <v>0.00283854917243982</v>
      </c>
      <c r="I13" s="79">
        <v>0.0127430555555556</v>
      </c>
      <c r="J13" s="79">
        <v>0.0315509259259259</v>
      </c>
      <c r="K13" s="79">
        <v>0.378472222222222</v>
      </c>
      <c r="L13" s="75">
        <v>4.0</v>
      </c>
      <c r="M13" s="75">
        <v>17.0</v>
      </c>
      <c r="N13" s="80">
        <v>0.5</v>
      </c>
      <c r="O13" s="80">
        <v>1.18471337579618</v>
      </c>
      <c r="P13" s="81">
        <v>0.951612903225806</v>
      </c>
    </row>
    <row r="14">
      <c r="A14" s="74" t="s">
        <v>9</v>
      </c>
      <c r="B14" s="75" t="s">
        <v>183</v>
      </c>
      <c r="C14" s="76">
        <v>876358.0</v>
      </c>
      <c r="D14" s="76" t="s">
        <v>19</v>
      </c>
      <c r="E14" s="75" t="s">
        <v>181</v>
      </c>
      <c r="F14" s="77">
        <v>40281.0</v>
      </c>
      <c r="G14" s="75">
        <v>207.0</v>
      </c>
      <c r="H14" s="78">
        <v>0.00182411877093287</v>
      </c>
      <c r="I14" s="79">
        <v>4.97685185185185E-4</v>
      </c>
      <c r="J14" s="79">
        <v>0.0291087962962963</v>
      </c>
      <c r="K14" s="79">
        <v>0.378935185185185</v>
      </c>
      <c r="L14" s="75">
        <v>1.0</v>
      </c>
      <c r="M14" s="75">
        <v>3.0</v>
      </c>
      <c r="N14" s="80">
        <v>0.875</v>
      </c>
      <c r="O14" s="80">
        <v>1.00966183574879</v>
      </c>
      <c r="P14" s="81">
        <v>0.966507177033493</v>
      </c>
    </row>
    <row r="15">
      <c r="A15" s="74" t="s">
        <v>94</v>
      </c>
      <c r="B15" s="75" t="s">
        <v>183</v>
      </c>
      <c r="C15" s="76">
        <v>876356.0</v>
      </c>
      <c r="D15" s="76" t="s">
        <v>19</v>
      </c>
      <c r="E15" s="75" t="s">
        <v>181</v>
      </c>
      <c r="F15" s="77">
        <v>40281.0</v>
      </c>
      <c r="G15" s="75">
        <v>209.0</v>
      </c>
      <c r="H15" s="78">
        <v>0.00113756353656458</v>
      </c>
      <c r="I15" s="79">
        <v>3.47222222222222E-4</v>
      </c>
      <c r="J15" s="79">
        <v>0.0320833333333333</v>
      </c>
      <c r="K15" s="79">
        <v>0.348020833333333</v>
      </c>
      <c r="L15" s="75">
        <v>3.0</v>
      </c>
      <c r="M15" s="75">
        <v>6.0</v>
      </c>
      <c r="N15" s="82"/>
      <c r="O15" s="80">
        <v>0.870813397129187</v>
      </c>
      <c r="P15" s="81">
        <v>0.989010989010989</v>
      </c>
    </row>
    <row r="16">
      <c r="A16" s="74" t="s">
        <v>7</v>
      </c>
      <c r="B16" s="75" t="s">
        <v>183</v>
      </c>
      <c r="C16" s="76">
        <v>873230.0</v>
      </c>
      <c r="D16" s="76" t="s">
        <v>19</v>
      </c>
      <c r="E16" s="75" t="s">
        <v>184</v>
      </c>
      <c r="F16" s="77">
        <v>40281.0</v>
      </c>
      <c r="G16" s="75">
        <v>207.0</v>
      </c>
      <c r="H16" s="78">
        <v>0.00167966391200961</v>
      </c>
      <c r="I16" s="79">
        <v>0.00100694444444444</v>
      </c>
      <c r="J16" s="79">
        <v>0.030625</v>
      </c>
      <c r="K16" s="79">
        <v>0.380451388888889</v>
      </c>
      <c r="L16" s="75">
        <v>1.0</v>
      </c>
      <c r="M16" s="75">
        <v>11.0</v>
      </c>
      <c r="N16" s="80">
        <v>0.428571428571429</v>
      </c>
      <c r="O16" s="80">
        <v>0.893719806763285</v>
      </c>
      <c r="P16" s="81">
        <v>0.983783783783784</v>
      </c>
    </row>
    <row r="78">
      <c r="E78" s="83" t="s">
        <v>292</v>
      </c>
    </row>
  </sheetData>
  <conditionalFormatting sqref="H1:H116">
    <cfRule type="cellIs" dxfId="4" priority="1" operator="greaterThan">
      <formula>"00:02:00"</formula>
    </cfRule>
  </conditionalFormatting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22.25"/>
    <col customWidth="1" min="3" max="14" width="9.13"/>
    <col customWidth="1" hidden="1" min="15" max="15" width="12.5"/>
    <col customWidth="1" hidden="1" min="16" max="16" width="11.88"/>
    <col customWidth="1" min="17" max="26" width="9.13"/>
  </cols>
  <sheetData>
    <row r="1" ht="31.5" customHeight="1">
      <c r="A1" s="84"/>
      <c r="B1" s="84" t="s">
        <v>293</v>
      </c>
      <c r="C1" s="85" t="s">
        <v>294</v>
      </c>
      <c r="D1" s="86" t="s">
        <v>295</v>
      </c>
      <c r="E1" s="86" t="s">
        <v>296</v>
      </c>
      <c r="F1" s="86" t="s">
        <v>297</v>
      </c>
      <c r="G1" s="86" t="s">
        <v>298</v>
      </c>
      <c r="H1" s="86" t="s">
        <v>299</v>
      </c>
      <c r="I1" s="86" t="s">
        <v>300</v>
      </c>
      <c r="J1" s="86" t="s">
        <v>301</v>
      </c>
      <c r="K1" s="86" t="s">
        <v>302</v>
      </c>
      <c r="L1" s="86" t="s">
        <v>303</v>
      </c>
      <c r="M1" s="86" t="s">
        <v>304</v>
      </c>
      <c r="N1" s="86" t="s">
        <v>305</v>
      </c>
      <c r="O1" s="86"/>
      <c r="P1" s="86"/>
      <c r="Q1" s="87"/>
      <c r="R1" s="87"/>
      <c r="S1" s="87"/>
      <c r="T1" s="87"/>
      <c r="U1" s="87"/>
      <c r="V1" s="87"/>
      <c r="W1" s="87"/>
      <c r="X1" s="87"/>
      <c r="Y1" s="87"/>
      <c r="Z1" s="87"/>
    </row>
    <row r="2" ht="12.75" customHeight="1">
      <c r="A2" s="88"/>
      <c r="B2" s="88"/>
      <c r="C2" s="89"/>
      <c r="D2" s="90" t="s">
        <v>306</v>
      </c>
      <c r="E2" s="90" t="s">
        <v>307</v>
      </c>
      <c r="F2" s="90" t="s">
        <v>308</v>
      </c>
      <c r="G2" s="90" t="s">
        <v>309</v>
      </c>
      <c r="H2" s="90" t="s">
        <v>310</v>
      </c>
      <c r="I2" s="90" t="s">
        <v>311</v>
      </c>
      <c r="J2" s="90" t="s">
        <v>312</v>
      </c>
      <c r="K2" s="90" t="s">
        <v>306</v>
      </c>
      <c r="L2" s="90" t="s">
        <v>307</v>
      </c>
      <c r="M2" s="90" t="s">
        <v>308</v>
      </c>
      <c r="N2" s="90" t="s">
        <v>309</v>
      </c>
      <c r="O2" s="90" t="s">
        <v>313</v>
      </c>
      <c r="P2" s="90" t="s">
        <v>314</v>
      </c>
      <c r="Q2" s="87"/>
      <c r="R2" s="87"/>
      <c r="S2" s="87"/>
      <c r="T2" s="87"/>
      <c r="U2" s="87"/>
      <c r="V2" s="87"/>
      <c r="W2" s="87"/>
      <c r="X2" s="87"/>
      <c r="Y2" s="87"/>
      <c r="Z2" s="87"/>
    </row>
    <row r="3" ht="12.75" customHeight="1">
      <c r="A3" s="91">
        <v>1.0</v>
      </c>
      <c r="B3" s="92" t="s">
        <v>315</v>
      </c>
      <c r="C3" s="91">
        <v>23648.0</v>
      </c>
      <c r="D3" s="91" t="s">
        <v>316</v>
      </c>
      <c r="E3" s="91" t="s">
        <v>316</v>
      </c>
      <c r="F3" s="91" t="s">
        <v>316</v>
      </c>
      <c r="G3" s="91" t="s">
        <v>316</v>
      </c>
      <c r="H3" s="91" t="s">
        <v>316</v>
      </c>
      <c r="I3" s="91" t="s">
        <v>317</v>
      </c>
      <c r="J3" s="91" t="s">
        <v>317</v>
      </c>
      <c r="K3" s="91" t="s">
        <v>316</v>
      </c>
      <c r="L3" s="91" t="s">
        <v>318</v>
      </c>
      <c r="M3" s="91" t="s">
        <v>319</v>
      </c>
      <c r="N3" s="91" t="s">
        <v>317</v>
      </c>
      <c r="O3" s="91">
        <f t="shared" ref="O3:O89" si="1">COUNTIF(D3:N3,"P")</f>
        <v>1</v>
      </c>
      <c r="P3" s="91">
        <f t="shared" ref="P3:P89" si="2">COUNTIF(D3:N3,"AB")</f>
        <v>1</v>
      </c>
      <c r="Q3" s="93"/>
      <c r="R3" s="94"/>
      <c r="S3" s="94"/>
      <c r="T3" s="94"/>
      <c r="U3" s="94"/>
      <c r="V3" s="94"/>
      <c r="W3" s="94"/>
      <c r="X3" s="94"/>
      <c r="Y3" s="94"/>
      <c r="Z3" s="94"/>
    </row>
    <row r="4" ht="12.75" customHeight="1">
      <c r="A4" s="91">
        <v>2.0</v>
      </c>
      <c r="B4" s="92" t="s">
        <v>320</v>
      </c>
      <c r="C4" s="91">
        <v>23415.0</v>
      </c>
      <c r="D4" s="91" t="s">
        <v>318</v>
      </c>
      <c r="E4" s="91" t="s">
        <v>321</v>
      </c>
      <c r="F4" s="91" t="s">
        <v>318</v>
      </c>
      <c r="G4" s="91" t="s">
        <v>318</v>
      </c>
      <c r="H4" s="91" t="s">
        <v>317</v>
      </c>
      <c r="I4" s="91" t="s">
        <v>318</v>
      </c>
      <c r="J4" s="91" t="s">
        <v>318</v>
      </c>
      <c r="K4" s="91" t="s">
        <v>318</v>
      </c>
      <c r="L4" s="91" t="s">
        <v>317</v>
      </c>
      <c r="M4" s="91" t="s">
        <v>318</v>
      </c>
      <c r="N4" s="91" t="s">
        <v>318</v>
      </c>
      <c r="O4" s="91">
        <f t="shared" si="1"/>
        <v>8</v>
      </c>
      <c r="P4" s="91">
        <f t="shared" si="2"/>
        <v>0</v>
      </c>
      <c r="Q4" s="95"/>
      <c r="R4" s="96"/>
      <c r="S4" s="96"/>
      <c r="T4" s="96"/>
      <c r="U4" s="96"/>
      <c r="V4" s="96"/>
      <c r="W4" s="96"/>
      <c r="X4" s="96"/>
      <c r="Y4" s="96"/>
      <c r="Z4" s="96"/>
    </row>
    <row r="5" ht="12.75" customHeight="1">
      <c r="A5" s="91">
        <v>3.0</v>
      </c>
      <c r="B5" s="92" t="s">
        <v>322</v>
      </c>
      <c r="C5" s="91">
        <v>25069.0</v>
      </c>
      <c r="D5" s="91" t="s">
        <v>321</v>
      </c>
      <c r="E5" s="91" t="s">
        <v>321</v>
      </c>
      <c r="F5" s="91" t="s">
        <v>321</v>
      </c>
      <c r="G5" s="91" t="s">
        <v>318</v>
      </c>
      <c r="H5" s="91" t="s">
        <v>318</v>
      </c>
      <c r="I5" s="91" t="s">
        <v>318</v>
      </c>
      <c r="J5" s="91" t="s">
        <v>317</v>
      </c>
      <c r="K5" s="91" t="s">
        <v>318</v>
      </c>
      <c r="L5" s="91" t="s">
        <v>318</v>
      </c>
      <c r="M5" s="91" t="s">
        <v>318</v>
      </c>
      <c r="N5" s="91" t="s">
        <v>317</v>
      </c>
      <c r="O5" s="91">
        <f t="shared" si="1"/>
        <v>6</v>
      </c>
      <c r="P5" s="91">
        <f t="shared" si="2"/>
        <v>0</v>
      </c>
      <c r="Q5" s="95"/>
      <c r="R5" s="96"/>
      <c r="S5" s="96"/>
      <c r="T5" s="96"/>
      <c r="U5" s="96"/>
      <c r="V5" s="96"/>
      <c r="W5" s="96"/>
      <c r="X5" s="96"/>
      <c r="Y5" s="96"/>
      <c r="Z5" s="96"/>
    </row>
    <row r="6" ht="12.75" customHeight="1">
      <c r="A6" s="91">
        <v>4.0</v>
      </c>
      <c r="B6" s="92" t="s">
        <v>323</v>
      </c>
      <c r="C6" s="91">
        <v>23549.0</v>
      </c>
      <c r="D6" s="91" t="s">
        <v>318</v>
      </c>
      <c r="E6" s="91" t="s">
        <v>318</v>
      </c>
      <c r="F6" s="91" t="s">
        <v>321</v>
      </c>
      <c r="G6" s="91" t="s">
        <v>318</v>
      </c>
      <c r="H6" s="91" t="s">
        <v>318</v>
      </c>
      <c r="I6" s="91" t="s">
        <v>318</v>
      </c>
      <c r="J6" s="91" t="s">
        <v>319</v>
      </c>
      <c r="K6" s="91" t="s">
        <v>318</v>
      </c>
      <c r="L6" s="91" t="s">
        <v>318</v>
      </c>
      <c r="M6" s="91" t="s">
        <v>318</v>
      </c>
      <c r="N6" s="91" t="s">
        <v>318</v>
      </c>
      <c r="O6" s="91">
        <f t="shared" si="1"/>
        <v>9</v>
      </c>
      <c r="P6" s="91">
        <f t="shared" si="2"/>
        <v>1</v>
      </c>
      <c r="Q6" s="95"/>
      <c r="R6" s="96"/>
      <c r="S6" s="96"/>
      <c r="T6" s="96"/>
      <c r="U6" s="96"/>
      <c r="V6" s="96"/>
      <c r="W6" s="96"/>
      <c r="X6" s="96"/>
      <c r="Y6" s="96"/>
      <c r="Z6" s="96"/>
    </row>
    <row r="7" ht="15.0" customHeight="1">
      <c r="A7" s="91">
        <v>5.0</v>
      </c>
      <c r="B7" s="92" t="s">
        <v>324</v>
      </c>
      <c r="C7" s="91">
        <v>23521.0</v>
      </c>
      <c r="D7" s="91" t="s">
        <v>319</v>
      </c>
      <c r="E7" s="91" t="s">
        <v>318</v>
      </c>
      <c r="F7" s="91" t="s">
        <v>318</v>
      </c>
      <c r="G7" s="91" t="s">
        <v>317</v>
      </c>
      <c r="H7" s="91" t="s">
        <v>318</v>
      </c>
      <c r="I7" s="91" t="s">
        <v>318</v>
      </c>
      <c r="J7" s="91" t="s">
        <v>317</v>
      </c>
      <c r="K7" s="91" t="s">
        <v>318</v>
      </c>
      <c r="L7" s="91" t="s">
        <v>319</v>
      </c>
      <c r="M7" s="91" t="s">
        <v>318</v>
      </c>
      <c r="N7" s="91" t="s">
        <v>317</v>
      </c>
      <c r="O7" s="91">
        <f t="shared" si="1"/>
        <v>6</v>
      </c>
      <c r="P7" s="91">
        <f t="shared" si="2"/>
        <v>2</v>
      </c>
      <c r="Q7" s="95"/>
      <c r="R7" s="96"/>
      <c r="S7" s="96"/>
      <c r="T7" s="96"/>
      <c r="U7" s="96"/>
      <c r="V7" s="96"/>
      <c r="W7" s="96"/>
      <c r="X7" s="96"/>
      <c r="Y7" s="96"/>
      <c r="Z7" s="96"/>
    </row>
    <row r="8" ht="12.75" customHeight="1">
      <c r="A8" s="91">
        <v>6.0</v>
      </c>
      <c r="B8" s="92" t="s">
        <v>325</v>
      </c>
      <c r="C8" s="91">
        <v>23608.0</v>
      </c>
      <c r="D8" s="91" t="s">
        <v>318</v>
      </c>
      <c r="E8" s="91" t="s">
        <v>321</v>
      </c>
      <c r="F8" s="91" t="s">
        <v>318</v>
      </c>
      <c r="G8" s="91" t="s">
        <v>319</v>
      </c>
      <c r="H8" s="91" t="s">
        <v>318</v>
      </c>
      <c r="I8" s="91" t="s">
        <v>318</v>
      </c>
      <c r="J8" s="91" t="s">
        <v>317</v>
      </c>
      <c r="K8" s="91" t="s">
        <v>318</v>
      </c>
      <c r="L8" s="91" t="s">
        <v>317</v>
      </c>
      <c r="M8" s="91" t="s">
        <v>318</v>
      </c>
      <c r="N8" s="91" t="s">
        <v>319</v>
      </c>
      <c r="O8" s="91">
        <f t="shared" si="1"/>
        <v>6</v>
      </c>
      <c r="P8" s="91">
        <f t="shared" si="2"/>
        <v>2</v>
      </c>
      <c r="Q8" s="95"/>
      <c r="R8" s="96"/>
      <c r="S8" s="96"/>
      <c r="T8" s="96"/>
      <c r="U8" s="96"/>
      <c r="V8" s="96"/>
      <c r="W8" s="96"/>
      <c r="X8" s="96"/>
      <c r="Y8" s="96"/>
      <c r="Z8" s="96"/>
    </row>
    <row r="9" ht="12.75" customHeight="1">
      <c r="A9" s="91">
        <v>7.0</v>
      </c>
      <c r="B9" s="92" t="s">
        <v>326</v>
      </c>
      <c r="C9" s="91">
        <v>25034.0</v>
      </c>
      <c r="D9" s="91" t="s">
        <v>319</v>
      </c>
      <c r="E9" s="91" t="s">
        <v>318</v>
      </c>
      <c r="F9" s="91" t="s">
        <v>318</v>
      </c>
      <c r="G9" s="91" t="s">
        <v>317</v>
      </c>
      <c r="H9" s="91" t="s">
        <v>318</v>
      </c>
      <c r="I9" s="91" t="s">
        <v>318</v>
      </c>
      <c r="J9" s="91" t="s">
        <v>317</v>
      </c>
      <c r="K9" s="91" t="s">
        <v>318</v>
      </c>
      <c r="L9" s="91" t="s">
        <v>318</v>
      </c>
      <c r="M9" s="91" t="s">
        <v>318</v>
      </c>
      <c r="N9" s="91" t="s">
        <v>317</v>
      </c>
      <c r="O9" s="91">
        <f t="shared" si="1"/>
        <v>7</v>
      </c>
      <c r="P9" s="91">
        <f t="shared" si="2"/>
        <v>1</v>
      </c>
      <c r="Q9" s="95"/>
      <c r="R9" s="96"/>
      <c r="S9" s="96"/>
      <c r="T9" s="96"/>
      <c r="U9" s="96"/>
      <c r="V9" s="96"/>
      <c r="W9" s="96"/>
      <c r="X9" s="96"/>
      <c r="Y9" s="96"/>
      <c r="Z9" s="96"/>
    </row>
    <row r="10" ht="12.75" customHeight="1">
      <c r="A10" s="91">
        <v>8.0</v>
      </c>
      <c r="B10" s="92" t="s">
        <v>327</v>
      </c>
      <c r="C10" s="91">
        <v>23547.0</v>
      </c>
      <c r="D10" s="91" t="s">
        <v>318</v>
      </c>
      <c r="E10" s="91" t="s">
        <v>318</v>
      </c>
      <c r="F10" s="91" t="s">
        <v>321</v>
      </c>
      <c r="G10" s="91" t="s">
        <v>319</v>
      </c>
      <c r="H10" s="91" t="s">
        <v>318</v>
      </c>
      <c r="I10" s="91" t="s">
        <v>318</v>
      </c>
      <c r="J10" s="91" t="s">
        <v>318</v>
      </c>
      <c r="K10" s="91" t="s">
        <v>317</v>
      </c>
      <c r="L10" s="91" t="s">
        <v>318</v>
      </c>
      <c r="M10" s="91" t="s">
        <v>317</v>
      </c>
      <c r="N10" s="91" t="s">
        <v>318</v>
      </c>
      <c r="O10" s="91">
        <f t="shared" si="1"/>
        <v>7</v>
      </c>
      <c r="P10" s="91">
        <f t="shared" si="2"/>
        <v>1</v>
      </c>
      <c r="Q10" s="95"/>
      <c r="R10" s="96"/>
      <c r="S10" s="96"/>
      <c r="T10" s="96"/>
      <c r="U10" s="96"/>
      <c r="V10" s="96"/>
      <c r="W10" s="96"/>
      <c r="X10" s="96"/>
      <c r="Y10" s="96"/>
      <c r="Z10" s="96"/>
    </row>
    <row r="11" ht="12.75" customHeight="1">
      <c r="A11" s="91">
        <v>9.0</v>
      </c>
      <c r="B11" s="92" t="s">
        <v>328</v>
      </c>
      <c r="C11" s="91">
        <v>25075.0</v>
      </c>
      <c r="D11" s="91" t="s">
        <v>318</v>
      </c>
      <c r="E11" s="91" t="s">
        <v>321</v>
      </c>
      <c r="F11" s="91" t="s">
        <v>321</v>
      </c>
      <c r="G11" s="91" t="s">
        <v>318</v>
      </c>
      <c r="H11" s="91" t="s">
        <v>317</v>
      </c>
      <c r="I11" s="91" t="s">
        <v>318</v>
      </c>
      <c r="J11" s="91" t="s">
        <v>318</v>
      </c>
      <c r="K11" s="91" t="s">
        <v>318</v>
      </c>
      <c r="L11" s="91" t="s">
        <v>318</v>
      </c>
      <c r="M11" s="91" t="s">
        <v>318</v>
      </c>
      <c r="N11" s="91" t="s">
        <v>317</v>
      </c>
      <c r="O11" s="91">
        <f t="shared" si="1"/>
        <v>7</v>
      </c>
      <c r="P11" s="91">
        <f t="shared" si="2"/>
        <v>0</v>
      </c>
      <c r="Q11" s="95"/>
      <c r="R11" s="96"/>
      <c r="S11" s="96"/>
      <c r="T11" s="96"/>
      <c r="U11" s="96"/>
      <c r="V11" s="96"/>
      <c r="W11" s="96"/>
      <c r="X11" s="96"/>
      <c r="Y11" s="96"/>
      <c r="Z11" s="96"/>
    </row>
    <row r="12" ht="12.75" customHeight="1">
      <c r="A12" s="91">
        <v>10.0</v>
      </c>
      <c r="B12" s="92" t="s">
        <v>329</v>
      </c>
      <c r="C12" s="91">
        <v>24962.0</v>
      </c>
      <c r="D12" s="91" t="s">
        <v>318</v>
      </c>
      <c r="E12" s="91" t="s">
        <v>318</v>
      </c>
      <c r="F12" s="91" t="s">
        <v>318</v>
      </c>
      <c r="G12" s="91" t="s">
        <v>318</v>
      </c>
      <c r="H12" s="91" t="s">
        <v>318</v>
      </c>
      <c r="I12" s="91" t="s">
        <v>317</v>
      </c>
      <c r="J12" s="91" t="s">
        <v>317</v>
      </c>
      <c r="K12" s="91" t="s">
        <v>318</v>
      </c>
      <c r="L12" s="91" t="s">
        <v>318</v>
      </c>
      <c r="M12" s="91" t="s">
        <v>318</v>
      </c>
      <c r="N12" s="91" t="s">
        <v>318</v>
      </c>
      <c r="O12" s="91">
        <f t="shared" si="1"/>
        <v>9</v>
      </c>
      <c r="P12" s="91">
        <f t="shared" si="2"/>
        <v>0</v>
      </c>
      <c r="Q12" s="97"/>
      <c r="R12" s="97"/>
      <c r="S12" s="97"/>
      <c r="T12" s="97"/>
      <c r="U12" s="97"/>
      <c r="V12" s="97"/>
      <c r="W12" s="97"/>
      <c r="X12" s="97"/>
      <c r="Y12" s="97"/>
      <c r="Z12" s="97"/>
    </row>
    <row r="13" ht="12.75" customHeight="1">
      <c r="A13" s="91">
        <v>11.0</v>
      </c>
      <c r="B13" s="92" t="s">
        <v>330</v>
      </c>
      <c r="C13" s="91">
        <v>23609.0</v>
      </c>
      <c r="D13" s="91" t="s">
        <v>318</v>
      </c>
      <c r="E13" s="91" t="s">
        <v>321</v>
      </c>
      <c r="F13" s="91" t="s">
        <v>318</v>
      </c>
      <c r="G13" s="91" t="s">
        <v>318</v>
      </c>
      <c r="H13" s="91" t="s">
        <v>317</v>
      </c>
      <c r="I13" s="91" t="s">
        <v>318</v>
      </c>
      <c r="J13" s="91" t="s">
        <v>317</v>
      </c>
      <c r="K13" s="91" t="s">
        <v>318</v>
      </c>
      <c r="L13" s="91" t="s">
        <v>318</v>
      </c>
      <c r="M13" s="91" t="s">
        <v>318</v>
      </c>
      <c r="N13" s="91" t="s">
        <v>317</v>
      </c>
      <c r="O13" s="91">
        <f t="shared" si="1"/>
        <v>7</v>
      </c>
      <c r="P13" s="91">
        <f t="shared" si="2"/>
        <v>0</v>
      </c>
      <c r="Q13" s="95"/>
      <c r="R13" s="96"/>
      <c r="S13" s="96"/>
      <c r="T13" s="96"/>
      <c r="U13" s="96"/>
      <c r="V13" s="96"/>
      <c r="W13" s="96"/>
      <c r="X13" s="96"/>
      <c r="Y13" s="96"/>
      <c r="Z13" s="96"/>
    </row>
    <row r="14" ht="15.0" customHeight="1">
      <c r="A14" s="91">
        <v>12.0</v>
      </c>
      <c r="B14" s="92" t="s">
        <v>331</v>
      </c>
      <c r="C14" s="91">
        <v>30290.0</v>
      </c>
      <c r="D14" s="91" t="s">
        <v>316</v>
      </c>
      <c r="E14" s="91" t="s">
        <v>316</v>
      </c>
      <c r="F14" s="91" t="s">
        <v>316</v>
      </c>
      <c r="G14" s="91" t="s">
        <v>316</v>
      </c>
      <c r="H14" s="91" t="s">
        <v>317</v>
      </c>
      <c r="I14" s="91" t="s">
        <v>316</v>
      </c>
      <c r="J14" s="91" t="s">
        <v>316</v>
      </c>
      <c r="K14" s="91" t="s">
        <v>316</v>
      </c>
      <c r="L14" s="91" t="s">
        <v>317</v>
      </c>
      <c r="M14" s="91" t="s">
        <v>319</v>
      </c>
      <c r="N14" s="91" t="s">
        <v>319</v>
      </c>
      <c r="O14" s="91">
        <f t="shared" si="1"/>
        <v>0</v>
      </c>
      <c r="P14" s="91">
        <f t="shared" si="2"/>
        <v>2</v>
      </c>
      <c r="Q14" s="95"/>
      <c r="R14" s="96"/>
      <c r="S14" s="96"/>
      <c r="T14" s="96"/>
      <c r="U14" s="96"/>
      <c r="V14" s="96"/>
      <c r="W14" s="96"/>
      <c r="X14" s="96"/>
      <c r="Y14" s="96"/>
      <c r="Z14" s="96"/>
    </row>
    <row r="15" ht="12.75" customHeight="1">
      <c r="A15" s="91">
        <v>13.0</v>
      </c>
      <c r="B15" s="92" t="s">
        <v>332</v>
      </c>
      <c r="C15" s="91">
        <v>33856.0</v>
      </c>
      <c r="D15" s="91" t="s">
        <v>318</v>
      </c>
      <c r="E15" s="91" t="s">
        <v>321</v>
      </c>
      <c r="F15" s="91" t="s">
        <v>321</v>
      </c>
      <c r="G15" s="91" t="s">
        <v>318</v>
      </c>
      <c r="H15" s="91" t="s">
        <v>318</v>
      </c>
      <c r="I15" s="91" t="s">
        <v>318</v>
      </c>
      <c r="J15" s="91" t="s">
        <v>318</v>
      </c>
      <c r="K15" s="91" t="s">
        <v>318</v>
      </c>
      <c r="L15" s="91" t="s">
        <v>317</v>
      </c>
      <c r="M15" s="91" t="s">
        <v>317</v>
      </c>
      <c r="N15" s="91" t="s">
        <v>318</v>
      </c>
      <c r="O15" s="91">
        <f t="shared" si="1"/>
        <v>7</v>
      </c>
      <c r="P15" s="91">
        <f t="shared" si="2"/>
        <v>0</v>
      </c>
      <c r="Q15" s="95"/>
      <c r="R15" s="96"/>
      <c r="S15" s="96"/>
      <c r="T15" s="96"/>
      <c r="U15" s="96"/>
      <c r="V15" s="96"/>
      <c r="W15" s="96"/>
      <c r="X15" s="96"/>
      <c r="Y15" s="96"/>
      <c r="Z15" s="96"/>
    </row>
    <row r="16" ht="12.75" customHeight="1">
      <c r="A16" s="91">
        <v>14.0</v>
      </c>
      <c r="B16" s="92" t="s">
        <v>333</v>
      </c>
      <c r="C16" s="91">
        <v>23515.0</v>
      </c>
      <c r="D16" s="91" t="s">
        <v>318</v>
      </c>
      <c r="E16" s="91" t="s">
        <v>321</v>
      </c>
      <c r="F16" s="91" t="s">
        <v>319</v>
      </c>
      <c r="G16" s="91" t="s">
        <v>317</v>
      </c>
      <c r="H16" s="91" t="s">
        <v>318</v>
      </c>
      <c r="I16" s="91" t="s">
        <v>317</v>
      </c>
      <c r="J16" s="91" t="s">
        <v>318</v>
      </c>
      <c r="K16" s="91" t="s">
        <v>319</v>
      </c>
      <c r="L16" s="91" t="s">
        <v>318</v>
      </c>
      <c r="M16" s="91" t="s">
        <v>318</v>
      </c>
      <c r="N16" s="91" t="s">
        <v>318</v>
      </c>
      <c r="O16" s="91">
        <f t="shared" si="1"/>
        <v>6</v>
      </c>
      <c r="P16" s="91">
        <f t="shared" si="2"/>
        <v>2</v>
      </c>
      <c r="Q16" s="95"/>
      <c r="R16" s="96"/>
      <c r="S16" s="96"/>
      <c r="T16" s="96"/>
      <c r="U16" s="96"/>
      <c r="V16" s="96"/>
      <c r="W16" s="96"/>
      <c r="X16" s="96"/>
      <c r="Y16" s="96"/>
      <c r="Z16" s="96"/>
    </row>
    <row r="17" ht="12.75" customHeight="1">
      <c r="A17" s="91">
        <v>15.0</v>
      </c>
      <c r="B17" s="92" t="s">
        <v>334</v>
      </c>
      <c r="C17" s="91">
        <v>31877.0</v>
      </c>
      <c r="D17" s="91" t="s">
        <v>319</v>
      </c>
      <c r="E17" s="91" t="s">
        <v>318</v>
      </c>
      <c r="F17" s="91" t="s">
        <v>318</v>
      </c>
      <c r="G17" s="91" t="s">
        <v>318</v>
      </c>
      <c r="H17" s="91" t="s">
        <v>317</v>
      </c>
      <c r="I17" s="91" t="s">
        <v>318</v>
      </c>
      <c r="J17" s="91" t="s">
        <v>318</v>
      </c>
      <c r="K17" s="91" t="s">
        <v>317</v>
      </c>
      <c r="L17" s="91" t="s">
        <v>318</v>
      </c>
      <c r="M17" s="91" t="s">
        <v>318</v>
      </c>
      <c r="N17" s="91" t="s">
        <v>318</v>
      </c>
      <c r="O17" s="91">
        <f t="shared" si="1"/>
        <v>8</v>
      </c>
      <c r="P17" s="91">
        <f t="shared" si="2"/>
        <v>1</v>
      </c>
      <c r="Q17" s="95"/>
      <c r="R17" s="96"/>
      <c r="S17" s="96"/>
      <c r="T17" s="96"/>
      <c r="U17" s="96"/>
      <c r="V17" s="96"/>
      <c r="W17" s="96"/>
      <c r="X17" s="96"/>
      <c r="Y17" s="96"/>
      <c r="Z17" s="96"/>
    </row>
    <row r="18" ht="12.75" customHeight="1">
      <c r="A18" s="91">
        <v>16.0</v>
      </c>
      <c r="B18" s="92" t="s">
        <v>335</v>
      </c>
      <c r="C18" s="91">
        <v>23506.0</v>
      </c>
      <c r="D18" s="91" t="s">
        <v>318</v>
      </c>
      <c r="E18" s="91" t="s">
        <v>318</v>
      </c>
      <c r="F18" s="91" t="s">
        <v>321</v>
      </c>
      <c r="G18" s="91" t="s">
        <v>318</v>
      </c>
      <c r="H18" s="91" t="s">
        <v>318</v>
      </c>
      <c r="I18" s="91" t="s">
        <v>336</v>
      </c>
      <c r="J18" s="91" t="s">
        <v>317</v>
      </c>
      <c r="K18" s="91" t="s">
        <v>318</v>
      </c>
      <c r="L18" s="91" t="s">
        <v>318</v>
      </c>
      <c r="M18" s="91" t="s">
        <v>317</v>
      </c>
      <c r="N18" s="91" t="s">
        <v>318</v>
      </c>
      <c r="O18" s="91">
        <f t="shared" si="1"/>
        <v>7</v>
      </c>
      <c r="P18" s="91">
        <f t="shared" si="2"/>
        <v>0</v>
      </c>
      <c r="Q18" s="95"/>
      <c r="R18" s="96"/>
      <c r="S18" s="96"/>
      <c r="T18" s="96"/>
      <c r="U18" s="96"/>
      <c r="V18" s="96"/>
      <c r="W18" s="96"/>
      <c r="X18" s="96"/>
      <c r="Y18" s="96"/>
      <c r="Z18" s="96"/>
    </row>
    <row r="19" ht="12.75" customHeight="1">
      <c r="A19" s="91">
        <v>17.0</v>
      </c>
      <c r="B19" s="92" t="s">
        <v>337</v>
      </c>
      <c r="C19" s="91">
        <v>23606.0</v>
      </c>
      <c r="D19" s="91" t="s">
        <v>318</v>
      </c>
      <c r="E19" s="91" t="s">
        <v>318</v>
      </c>
      <c r="F19" s="91" t="s">
        <v>321</v>
      </c>
      <c r="G19" s="91" t="s">
        <v>318</v>
      </c>
      <c r="H19" s="91" t="s">
        <v>318</v>
      </c>
      <c r="I19" s="91" t="s">
        <v>318</v>
      </c>
      <c r="J19" s="91" t="s">
        <v>318</v>
      </c>
      <c r="K19" s="91" t="s">
        <v>317</v>
      </c>
      <c r="L19" s="91" t="s">
        <v>336</v>
      </c>
      <c r="M19" s="91" t="s">
        <v>318</v>
      </c>
      <c r="N19" s="91" t="s">
        <v>317</v>
      </c>
      <c r="O19" s="91">
        <f t="shared" si="1"/>
        <v>7</v>
      </c>
      <c r="P19" s="91">
        <f t="shared" si="2"/>
        <v>0</v>
      </c>
      <c r="Q19" s="95"/>
      <c r="R19" s="96"/>
      <c r="S19" s="96"/>
      <c r="T19" s="96"/>
      <c r="U19" s="96"/>
      <c r="V19" s="96"/>
      <c r="W19" s="96"/>
      <c r="X19" s="96"/>
      <c r="Y19" s="96"/>
      <c r="Z19" s="96"/>
    </row>
    <row r="20" ht="12.75" customHeight="1">
      <c r="A20" s="91">
        <v>18.0</v>
      </c>
      <c r="B20" s="92" t="s">
        <v>338</v>
      </c>
      <c r="C20" s="91">
        <v>25026.0</v>
      </c>
      <c r="D20" s="91" t="s">
        <v>318</v>
      </c>
      <c r="E20" s="91" t="s">
        <v>318</v>
      </c>
      <c r="F20" s="91" t="s">
        <v>321</v>
      </c>
      <c r="G20" s="91" t="s">
        <v>318</v>
      </c>
      <c r="H20" s="91" t="s">
        <v>319</v>
      </c>
      <c r="I20" s="91" t="s">
        <v>317</v>
      </c>
      <c r="J20" s="91" t="s">
        <v>318</v>
      </c>
      <c r="K20" s="91" t="s">
        <v>318</v>
      </c>
      <c r="L20" s="91" t="s">
        <v>318</v>
      </c>
      <c r="M20" s="91" t="s">
        <v>318</v>
      </c>
      <c r="N20" s="91" t="s">
        <v>318</v>
      </c>
      <c r="O20" s="91">
        <f t="shared" si="1"/>
        <v>8</v>
      </c>
      <c r="P20" s="91">
        <f t="shared" si="2"/>
        <v>1</v>
      </c>
      <c r="Q20" s="95"/>
      <c r="R20" s="96"/>
      <c r="S20" s="96"/>
      <c r="T20" s="96"/>
      <c r="U20" s="96"/>
      <c r="V20" s="96"/>
      <c r="W20" s="96"/>
      <c r="X20" s="96"/>
      <c r="Y20" s="96"/>
      <c r="Z20" s="96"/>
    </row>
    <row r="21" ht="12.75" customHeight="1">
      <c r="A21" s="91">
        <v>19.0</v>
      </c>
      <c r="B21" s="92" t="s">
        <v>339</v>
      </c>
      <c r="C21" s="91">
        <v>25009.0</v>
      </c>
      <c r="D21" s="91" t="s">
        <v>319</v>
      </c>
      <c r="E21" s="91" t="s">
        <v>319</v>
      </c>
      <c r="F21" s="91" t="s">
        <v>319</v>
      </c>
      <c r="G21" s="91" t="s">
        <v>319</v>
      </c>
      <c r="H21" s="91" t="s">
        <v>318</v>
      </c>
      <c r="I21" s="91" t="s">
        <v>317</v>
      </c>
      <c r="J21" s="91" t="s">
        <v>318</v>
      </c>
      <c r="K21" s="91" t="s">
        <v>318</v>
      </c>
      <c r="L21" s="91" t="s">
        <v>318</v>
      </c>
      <c r="M21" s="91" t="s">
        <v>318</v>
      </c>
      <c r="N21" s="91" t="s">
        <v>318</v>
      </c>
      <c r="O21" s="91">
        <f t="shared" si="1"/>
        <v>6</v>
      </c>
      <c r="P21" s="91">
        <f t="shared" si="2"/>
        <v>4</v>
      </c>
      <c r="Q21" s="95"/>
      <c r="R21" s="96"/>
      <c r="S21" s="96"/>
      <c r="T21" s="96"/>
      <c r="U21" s="96"/>
      <c r="V21" s="96"/>
      <c r="W21" s="96"/>
      <c r="X21" s="96"/>
      <c r="Y21" s="96"/>
      <c r="Z21" s="96"/>
    </row>
    <row r="22" ht="13.5" customHeight="1">
      <c r="A22" s="91">
        <v>20.0</v>
      </c>
      <c r="B22" s="92" t="s">
        <v>340</v>
      </c>
      <c r="C22" s="91">
        <v>25070.0</v>
      </c>
      <c r="D22" s="91" t="s">
        <v>318</v>
      </c>
      <c r="E22" s="91" t="s">
        <v>321</v>
      </c>
      <c r="F22" s="91" t="s">
        <v>318</v>
      </c>
      <c r="G22" s="91" t="s">
        <v>318</v>
      </c>
      <c r="H22" s="91" t="s">
        <v>318</v>
      </c>
      <c r="I22" s="91" t="s">
        <v>318</v>
      </c>
      <c r="J22" s="91" t="s">
        <v>318</v>
      </c>
      <c r="K22" s="91" t="s">
        <v>317</v>
      </c>
      <c r="L22" s="91" t="s">
        <v>317</v>
      </c>
      <c r="M22" s="91" t="s">
        <v>318</v>
      </c>
      <c r="N22" s="91" t="s">
        <v>318</v>
      </c>
      <c r="O22" s="91">
        <f t="shared" si="1"/>
        <v>8</v>
      </c>
      <c r="P22" s="91">
        <f t="shared" si="2"/>
        <v>0</v>
      </c>
      <c r="Q22" s="95"/>
      <c r="R22" s="96"/>
      <c r="S22" s="96"/>
      <c r="T22" s="96"/>
      <c r="U22" s="96"/>
      <c r="V22" s="96"/>
      <c r="W22" s="96"/>
      <c r="X22" s="96"/>
      <c r="Y22" s="96"/>
      <c r="Z22" s="96"/>
    </row>
    <row r="23" ht="12.75" customHeight="1">
      <c r="A23" s="91">
        <v>21.0</v>
      </c>
      <c r="B23" s="92" t="s">
        <v>341</v>
      </c>
      <c r="C23" s="91">
        <v>23635.0</v>
      </c>
      <c r="D23" s="91" t="s">
        <v>318</v>
      </c>
      <c r="E23" s="91" t="s">
        <v>319</v>
      </c>
      <c r="F23" s="91" t="s">
        <v>318</v>
      </c>
      <c r="G23" s="91" t="s">
        <v>317</v>
      </c>
      <c r="H23" s="91" t="s">
        <v>318</v>
      </c>
      <c r="I23" s="91" t="s">
        <v>318</v>
      </c>
      <c r="J23" s="91" t="s">
        <v>317</v>
      </c>
      <c r="K23" s="91" t="s">
        <v>319</v>
      </c>
      <c r="L23" s="91" t="s">
        <v>318</v>
      </c>
      <c r="M23" s="91" t="s">
        <v>318</v>
      </c>
      <c r="N23" s="91" t="s">
        <v>317</v>
      </c>
      <c r="O23" s="91">
        <f t="shared" si="1"/>
        <v>6</v>
      </c>
      <c r="P23" s="91">
        <f t="shared" si="2"/>
        <v>2</v>
      </c>
      <c r="Q23" s="95"/>
      <c r="R23" s="96"/>
      <c r="S23" s="96"/>
      <c r="T23" s="96"/>
      <c r="U23" s="96"/>
      <c r="V23" s="96"/>
      <c r="W23" s="96"/>
      <c r="X23" s="96"/>
      <c r="Y23" s="96"/>
      <c r="Z23" s="96"/>
    </row>
    <row r="24" ht="12.75" customHeight="1">
      <c r="A24" s="91">
        <v>22.0</v>
      </c>
      <c r="B24" s="92" t="s">
        <v>342</v>
      </c>
      <c r="C24" s="91">
        <v>30303.0</v>
      </c>
      <c r="D24" s="91" t="s">
        <v>318</v>
      </c>
      <c r="E24" s="91" t="s">
        <v>318</v>
      </c>
      <c r="F24" s="91" t="s">
        <v>321</v>
      </c>
      <c r="G24" s="91" t="s">
        <v>318</v>
      </c>
      <c r="H24" s="91" t="s">
        <v>318</v>
      </c>
      <c r="I24" s="91" t="s">
        <v>318</v>
      </c>
      <c r="J24" s="91" t="s">
        <v>318</v>
      </c>
      <c r="K24" s="91" t="s">
        <v>317</v>
      </c>
      <c r="L24" s="91" t="s">
        <v>318</v>
      </c>
      <c r="M24" s="91" t="s">
        <v>318</v>
      </c>
      <c r="N24" s="91" t="s">
        <v>318</v>
      </c>
      <c r="O24" s="91">
        <f t="shared" si="1"/>
        <v>9</v>
      </c>
      <c r="P24" s="91">
        <f t="shared" si="2"/>
        <v>0</v>
      </c>
      <c r="Q24" s="95"/>
      <c r="R24" s="96"/>
      <c r="S24" s="96"/>
      <c r="T24" s="96"/>
      <c r="U24" s="96"/>
      <c r="V24" s="96"/>
      <c r="W24" s="96"/>
      <c r="X24" s="96"/>
      <c r="Y24" s="96"/>
      <c r="Z24" s="96"/>
    </row>
    <row r="25" ht="12.75" customHeight="1">
      <c r="A25" s="91">
        <v>23.0</v>
      </c>
      <c r="B25" s="92" t="s">
        <v>343</v>
      </c>
      <c r="C25" s="91">
        <v>23529.0</v>
      </c>
      <c r="D25" s="91" t="s">
        <v>318</v>
      </c>
      <c r="E25" s="91" t="s">
        <v>318</v>
      </c>
      <c r="F25" s="91" t="s">
        <v>321</v>
      </c>
      <c r="G25" s="91" t="s">
        <v>318</v>
      </c>
      <c r="H25" s="91" t="s">
        <v>318</v>
      </c>
      <c r="I25" s="91" t="s">
        <v>317</v>
      </c>
      <c r="J25" s="91" t="s">
        <v>318</v>
      </c>
      <c r="K25" s="91" t="s">
        <v>318</v>
      </c>
      <c r="L25" s="91" t="s">
        <v>318</v>
      </c>
      <c r="M25" s="91" t="s">
        <v>318</v>
      </c>
      <c r="N25" s="91" t="s">
        <v>318</v>
      </c>
      <c r="O25" s="91">
        <f t="shared" si="1"/>
        <v>9</v>
      </c>
      <c r="P25" s="91">
        <f t="shared" si="2"/>
        <v>0</v>
      </c>
      <c r="Q25" s="95"/>
      <c r="R25" s="96"/>
      <c r="S25" s="96"/>
      <c r="T25" s="96"/>
      <c r="U25" s="96"/>
      <c r="V25" s="96"/>
      <c r="W25" s="96"/>
      <c r="X25" s="96"/>
      <c r="Y25" s="96"/>
      <c r="Z25" s="96"/>
    </row>
    <row r="26" ht="12.75" customHeight="1">
      <c r="A26" s="91">
        <v>24.0</v>
      </c>
      <c r="B26" s="92" t="s">
        <v>344</v>
      </c>
      <c r="C26" s="91">
        <v>30214.0</v>
      </c>
      <c r="D26" s="91" t="s">
        <v>318</v>
      </c>
      <c r="E26" s="91" t="s">
        <v>318</v>
      </c>
      <c r="F26" s="91" t="s">
        <v>318</v>
      </c>
      <c r="G26" s="91" t="s">
        <v>317</v>
      </c>
      <c r="H26" s="91" t="s">
        <v>318</v>
      </c>
      <c r="I26" s="91" t="s">
        <v>318</v>
      </c>
      <c r="J26" s="91" t="s">
        <v>318</v>
      </c>
      <c r="K26" s="91" t="s">
        <v>317</v>
      </c>
      <c r="L26" s="91" t="s">
        <v>318</v>
      </c>
      <c r="M26" s="91" t="s">
        <v>318</v>
      </c>
      <c r="N26" s="91" t="s">
        <v>317</v>
      </c>
      <c r="O26" s="91">
        <f t="shared" si="1"/>
        <v>8</v>
      </c>
      <c r="P26" s="91">
        <f t="shared" si="2"/>
        <v>0</v>
      </c>
      <c r="Q26" s="95"/>
      <c r="R26" s="96"/>
      <c r="S26" s="96"/>
      <c r="T26" s="96"/>
      <c r="U26" s="96"/>
      <c r="V26" s="96"/>
      <c r="W26" s="96"/>
      <c r="X26" s="96"/>
      <c r="Y26" s="96"/>
      <c r="Z26" s="96"/>
    </row>
    <row r="27" ht="12.75" customHeight="1">
      <c r="A27" s="91">
        <v>25.0</v>
      </c>
      <c r="B27" s="92" t="s">
        <v>345</v>
      </c>
      <c r="C27" s="91">
        <v>23555.0</v>
      </c>
      <c r="D27" s="91" t="s">
        <v>318</v>
      </c>
      <c r="E27" s="91" t="s">
        <v>318</v>
      </c>
      <c r="F27" s="91" t="s">
        <v>321</v>
      </c>
      <c r="G27" s="91" t="s">
        <v>318</v>
      </c>
      <c r="H27" s="91" t="s">
        <v>318</v>
      </c>
      <c r="I27" s="91" t="s">
        <v>317</v>
      </c>
      <c r="J27" s="91" t="s">
        <v>318</v>
      </c>
      <c r="K27" s="91" t="s">
        <v>318</v>
      </c>
      <c r="L27" s="91" t="s">
        <v>318</v>
      </c>
      <c r="M27" s="91" t="s">
        <v>318</v>
      </c>
      <c r="N27" s="91" t="s">
        <v>318</v>
      </c>
      <c r="O27" s="91">
        <f t="shared" si="1"/>
        <v>9</v>
      </c>
      <c r="P27" s="91">
        <f t="shared" si="2"/>
        <v>0</v>
      </c>
      <c r="Q27" s="95"/>
      <c r="R27" s="96"/>
      <c r="S27" s="96"/>
      <c r="T27" s="96"/>
      <c r="U27" s="96"/>
      <c r="V27" s="96"/>
      <c r="W27" s="96"/>
      <c r="X27" s="96"/>
      <c r="Y27" s="96"/>
      <c r="Z27" s="96"/>
    </row>
    <row r="28" ht="12.75" customHeight="1">
      <c r="A28" s="91">
        <v>26.0</v>
      </c>
      <c r="B28" s="92" t="s">
        <v>346</v>
      </c>
      <c r="C28" s="91">
        <v>30306.0</v>
      </c>
      <c r="D28" s="91" t="s">
        <v>318</v>
      </c>
      <c r="E28" s="91" t="s">
        <v>318</v>
      </c>
      <c r="F28" s="91" t="s">
        <v>318</v>
      </c>
      <c r="G28" s="91" t="s">
        <v>319</v>
      </c>
      <c r="H28" s="91" t="s">
        <v>317</v>
      </c>
      <c r="I28" s="91" t="s">
        <v>318</v>
      </c>
      <c r="J28" s="91" t="s">
        <v>318</v>
      </c>
      <c r="K28" s="91" t="s">
        <v>317</v>
      </c>
      <c r="L28" s="91" t="s">
        <v>318</v>
      </c>
      <c r="M28" s="91" t="s">
        <v>318</v>
      </c>
      <c r="N28" s="91" t="s">
        <v>317</v>
      </c>
      <c r="O28" s="91">
        <f t="shared" si="1"/>
        <v>7</v>
      </c>
      <c r="P28" s="91">
        <f t="shared" si="2"/>
        <v>1</v>
      </c>
      <c r="Q28" s="95"/>
      <c r="R28" s="96"/>
      <c r="S28" s="96"/>
      <c r="T28" s="96"/>
      <c r="U28" s="96"/>
      <c r="V28" s="96"/>
      <c r="W28" s="96"/>
      <c r="X28" s="96"/>
      <c r="Y28" s="96"/>
      <c r="Z28" s="96"/>
    </row>
    <row r="29" ht="12.75" customHeight="1">
      <c r="A29" s="91">
        <v>27.0</v>
      </c>
      <c r="B29" s="92" t="s">
        <v>347</v>
      </c>
      <c r="C29" s="91">
        <v>33860.0</v>
      </c>
      <c r="D29" s="91" t="s">
        <v>321</v>
      </c>
      <c r="E29" s="91" t="s">
        <v>318</v>
      </c>
      <c r="F29" s="91" t="s">
        <v>318</v>
      </c>
      <c r="G29" s="91" t="s">
        <v>318</v>
      </c>
      <c r="H29" s="91" t="s">
        <v>319</v>
      </c>
      <c r="I29" s="91" t="s">
        <v>317</v>
      </c>
      <c r="J29" s="91" t="s">
        <v>319</v>
      </c>
      <c r="K29" s="91" t="s">
        <v>317</v>
      </c>
      <c r="L29" s="91" t="s">
        <v>316</v>
      </c>
      <c r="M29" s="91" t="s">
        <v>318</v>
      </c>
      <c r="N29" s="91" t="s">
        <v>318</v>
      </c>
      <c r="O29" s="91">
        <f t="shared" si="1"/>
        <v>5</v>
      </c>
      <c r="P29" s="91">
        <f t="shared" si="2"/>
        <v>2</v>
      </c>
      <c r="Q29" s="95"/>
      <c r="R29" s="96"/>
      <c r="S29" s="96"/>
      <c r="T29" s="96"/>
      <c r="U29" s="96"/>
      <c r="V29" s="96"/>
      <c r="W29" s="96"/>
      <c r="X29" s="96"/>
      <c r="Y29" s="96"/>
      <c r="Z29" s="96"/>
    </row>
    <row r="30" ht="12.75" customHeight="1">
      <c r="A30" s="91">
        <v>28.0</v>
      </c>
      <c r="B30" s="92" t="s">
        <v>348</v>
      </c>
      <c r="C30" s="91">
        <v>23611.0</v>
      </c>
      <c r="D30" s="91" t="s">
        <v>318</v>
      </c>
      <c r="E30" s="91" t="s">
        <v>321</v>
      </c>
      <c r="F30" s="91" t="s">
        <v>318</v>
      </c>
      <c r="G30" s="91" t="s">
        <v>318</v>
      </c>
      <c r="H30" s="91" t="s">
        <v>317</v>
      </c>
      <c r="I30" s="91" t="s">
        <v>317</v>
      </c>
      <c r="J30" s="91" t="s">
        <v>318</v>
      </c>
      <c r="K30" s="91" t="s">
        <v>318</v>
      </c>
      <c r="L30" s="91" t="s">
        <v>318</v>
      </c>
      <c r="M30" s="91" t="s">
        <v>349</v>
      </c>
      <c r="N30" s="91" t="s">
        <v>318</v>
      </c>
      <c r="O30" s="91">
        <f t="shared" si="1"/>
        <v>8</v>
      </c>
      <c r="P30" s="91">
        <f t="shared" si="2"/>
        <v>0</v>
      </c>
      <c r="Q30" s="95"/>
      <c r="R30" s="96"/>
      <c r="S30" s="96"/>
      <c r="T30" s="96"/>
      <c r="U30" s="96"/>
      <c r="V30" s="96"/>
      <c r="W30" s="96"/>
      <c r="X30" s="96"/>
      <c r="Y30" s="96"/>
      <c r="Z30" s="96"/>
    </row>
    <row r="31" ht="12.75" customHeight="1">
      <c r="A31" s="91">
        <v>29.0</v>
      </c>
      <c r="B31" s="92" t="s">
        <v>350</v>
      </c>
      <c r="C31" s="91">
        <v>23525.0</v>
      </c>
      <c r="D31" s="91" t="s">
        <v>321</v>
      </c>
      <c r="E31" s="91" t="s">
        <v>318</v>
      </c>
      <c r="F31" s="91" t="s">
        <v>318</v>
      </c>
      <c r="G31" s="91" t="s">
        <v>318</v>
      </c>
      <c r="H31" s="91" t="s">
        <v>317</v>
      </c>
      <c r="I31" s="91" t="s">
        <v>318</v>
      </c>
      <c r="J31" s="91" t="s">
        <v>318</v>
      </c>
      <c r="K31" s="91" t="s">
        <v>318</v>
      </c>
      <c r="L31" s="91" t="s">
        <v>317</v>
      </c>
      <c r="M31" s="91" t="s">
        <v>317</v>
      </c>
      <c r="N31" s="91" t="s">
        <v>318</v>
      </c>
      <c r="O31" s="91">
        <f t="shared" si="1"/>
        <v>7</v>
      </c>
      <c r="P31" s="91">
        <f t="shared" si="2"/>
        <v>0</v>
      </c>
      <c r="Q31" s="95"/>
      <c r="R31" s="96"/>
      <c r="S31" s="96"/>
      <c r="T31" s="96"/>
      <c r="U31" s="96"/>
      <c r="V31" s="96"/>
      <c r="W31" s="96"/>
      <c r="X31" s="96"/>
      <c r="Y31" s="96"/>
      <c r="Z31" s="96"/>
    </row>
    <row r="32" ht="12.75" customHeight="1">
      <c r="A32" s="91">
        <v>30.0</v>
      </c>
      <c r="B32" s="92" t="s">
        <v>351</v>
      </c>
      <c r="C32" s="91">
        <v>23466.0</v>
      </c>
      <c r="D32" s="91" t="s">
        <v>318</v>
      </c>
      <c r="E32" s="91" t="s">
        <v>321</v>
      </c>
      <c r="F32" s="91" t="s">
        <v>319</v>
      </c>
      <c r="G32" s="91" t="s">
        <v>318</v>
      </c>
      <c r="H32" s="91" t="s">
        <v>317</v>
      </c>
      <c r="I32" s="91" t="s">
        <v>318</v>
      </c>
      <c r="J32" s="91" t="s">
        <v>318</v>
      </c>
      <c r="K32" s="91" t="s">
        <v>318</v>
      </c>
      <c r="L32" s="91" t="s">
        <v>317</v>
      </c>
      <c r="M32" s="91" t="s">
        <v>318</v>
      </c>
      <c r="N32" s="91" t="s">
        <v>318</v>
      </c>
      <c r="O32" s="91">
        <f t="shared" si="1"/>
        <v>7</v>
      </c>
      <c r="P32" s="91">
        <f t="shared" si="2"/>
        <v>1</v>
      </c>
      <c r="Q32" s="95"/>
      <c r="R32" s="96"/>
      <c r="S32" s="96"/>
      <c r="T32" s="96"/>
      <c r="U32" s="96"/>
      <c r="V32" s="96"/>
      <c r="W32" s="96"/>
      <c r="X32" s="96"/>
      <c r="Y32" s="96"/>
      <c r="Z32" s="96"/>
    </row>
    <row r="33" ht="12.75" customHeight="1">
      <c r="A33" s="91">
        <v>31.0</v>
      </c>
      <c r="B33" s="92" t="s">
        <v>352</v>
      </c>
      <c r="C33" s="91">
        <v>30298.0</v>
      </c>
      <c r="D33" s="91" t="s">
        <v>318</v>
      </c>
      <c r="E33" s="91" t="s">
        <v>318</v>
      </c>
      <c r="F33" s="91" t="s">
        <v>318</v>
      </c>
      <c r="G33" s="91" t="s">
        <v>317</v>
      </c>
      <c r="H33" s="91" t="s">
        <v>318</v>
      </c>
      <c r="I33" s="91" t="s">
        <v>318</v>
      </c>
      <c r="J33" s="91" t="s">
        <v>318</v>
      </c>
      <c r="K33" s="91" t="s">
        <v>317</v>
      </c>
      <c r="L33" s="91" t="s">
        <v>318</v>
      </c>
      <c r="M33" s="91" t="s">
        <v>317</v>
      </c>
      <c r="N33" s="91" t="s">
        <v>317</v>
      </c>
      <c r="O33" s="91">
        <f t="shared" si="1"/>
        <v>7</v>
      </c>
      <c r="P33" s="91">
        <f t="shared" si="2"/>
        <v>0</v>
      </c>
      <c r="Q33" s="95"/>
      <c r="R33" s="96"/>
      <c r="S33" s="96"/>
      <c r="T33" s="96"/>
      <c r="U33" s="96"/>
      <c r="V33" s="96"/>
      <c r="W33" s="96"/>
      <c r="X33" s="96"/>
      <c r="Y33" s="96"/>
      <c r="Z33" s="96"/>
    </row>
    <row r="34" ht="12.75" customHeight="1">
      <c r="A34" s="91">
        <v>32.0</v>
      </c>
      <c r="B34" s="92" t="s">
        <v>353</v>
      </c>
      <c r="C34" s="91">
        <v>23514.0</v>
      </c>
      <c r="D34" s="91" t="s">
        <v>318</v>
      </c>
      <c r="E34" s="91" t="s">
        <v>321</v>
      </c>
      <c r="F34" s="91" t="s">
        <v>318</v>
      </c>
      <c r="G34" s="91" t="s">
        <v>318</v>
      </c>
      <c r="H34" s="91" t="s">
        <v>317</v>
      </c>
      <c r="I34" s="91" t="s">
        <v>318</v>
      </c>
      <c r="J34" s="91" t="s">
        <v>318</v>
      </c>
      <c r="K34" s="91" t="s">
        <v>318</v>
      </c>
      <c r="L34" s="91" t="s">
        <v>317</v>
      </c>
      <c r="M34" s="91" t="s">
        <v>318</v>
      </c>
      <c r="N34" s="91" t="s">
        <v>318</v>
      </c>
      <c r="O34" s="91">
        <f t="shared" si="1"/>
        <v>8</v>
      </c>
      <c r="P34" s="91">
        <f t="shared" si="2"/>
        <v>0</v>
      </c>
      <c r="Q34" s="95"/>
      <c r="R34" s="96"/>
      <c r="S34" s="96"/>
      <c r="T34" s="96"/>
      <c r="U34" s="96"/>
      <c r="V34" s="96"/>
      <c r="W34" s="96"/>
      <c r="X34" s="96"/>
      <c r="Y34" s="96"/>
      <c r="Z34" s="96"/>
    </row>
    <row r="35" ht="12.75" customHeight="1">
      <c r="A35" s="91">
        <v>33.0</v>
      </c>
      <c r="B35" s="92" t="s">
        <v>354</v>
      </c>
      <c r="C35" s="91">
        <v>23523.0</v>
      </c>
      <c r="D35" s="91" t="s">
        <v>318</v>
      </c>
      <c r="E35" s="91" t="s">
        <v>318</v>
      </c>
      <c r="F35" s="91" t="s">
        <v>318</v>
      </c>
      <c r="G35" s="91" t="s">
        <v>318</v>
      </c>
      <c r="H35" s="91" t="s">
        <v>317</v>
      </c>
      <c r="I35" s="91" t="s">
        <v>318</v>
      </c>
      <c r="J35" s="91" t="s">
        <v>318</v>
      </c>
      <c r="K35" s="91" t="s">
        <v>317</v>
      </c>
      <c r="L35" s="91" t="s">
        <v>318</v>
      </c>
      <c r="M35" s="91" t="s">
        <v>318</v>
      </c>
      <c r="N35" s="91" t="s">
        <v>318</v>
      </c>
      <c r="O35" s="91">
        <f t="shared" si="1"/>
        <v>9</v>
      </c>
      <c r="P35" s="91">
        <f t="shared" si="2"/>
        <v>0</v>
      </c>
      <c r="Q35" s="95"/>
      <c r="R35" s="96"/>
      <c r="S35" s="96"/>
      <c r="T35" s="96"/>
      <c r="U35" s="96"/>
      <c r="V35" s="96"/>
      <c r="W35" s="96"/>
      <c r="X35" s="96"/>
      <c r="Y35" s="96"/>
      <c r="Z35" s="96"/>
    </row>
    <row r="36" ht="12.75" customHeight="1">
      <c r="A36" s="91">
        <v>34.0</v>
      </c>
      <c r="B36" s="92" t="s">
        <v>355</v>
      </c>
      <c r="C36" s="91">
        <v>25074.0</v>
      </c>
      <c r="D36" s="91" t="s">
        <v>318</v>
      </c>
      <c r="E36" s="91" t="s">
        <v>318</v>
      </c>
      <c r="F36" s="91" t="s">
        <v>319</v>
      </c>
      <c r="G36" s="91" t="s">
        <v>318</v>
      </c>
      <c r="H36" s="91" t="s">
        <v>317</v>
      </c>
      <c r="I36" s="91" t="s">
        <v>317</v>
      </c>
      <c r="J36" s="91" t="s">
        <v>318</v>
      </c>
      <c r="K36" s="91" t="s">
        <v>318</v>
      </c>
      <c r="L36" s="91" t="s">
        <v>318</v>
      </c>
      <c r="M36" s="91" t="s">
        <v>318</v>
      </c>
      <c r="N36" s="91" t="s">
        <v>318</v>
      </c>
      <c r="O36" s="91">
        <f t="shared" si="1"/>
        <v>8</v>
      </c>
      <c r="P36" s="91">
        <f t="shared" si="2"/>
        <v>1</v>
      </c>
      <c r="Q36" s="95"/>
      <c r="R36" s="96"/>
      <c r="S36" s="96"/>
      <c r="T36" s="96"/>
      <c r="U36" s="96"/>
      <c r="V36" s="96"/>
      <c r="W36" s="96"/>
      <c r="X36" s="96"/>
      <c r="Y36" s="96"/>
      <c r="Z36" s="96"/>
    </row>
    <row r="37" ht="12.75" customHeight="1">
      <c r="A37" s="91">
        <v>35.0</v>
      </c>
      <c r="B37" s="92" t="s">
        <v>356</v>
      </c>
      <c r="C37" s="91">
        <v>33833.0</v>
      </c>
      <c r="D37" s="91" t="s">
        <v>318</v>
      </c>
      <c r="E37" s="91" t="s">
        <v>318</v>
      </c>
      <c r="F37" s="91" t="s">
        <v>318</v>
      </c>
      <c r="G37" s="91" t="s">
        <v>318</v>
      </c>
      <c r="H37" s="91" t="s">
        <v>319</v>
      </c>
      <c r="I37" s="91" t="s">
        <v>317</v>
      </c>
      <c r="J37" s="91" t="s">
        <v>317</v>
      </c>
      <c r="K37" s="91" t="s">
        <v>319</v>
      </c>
      <c r="L37" s="91" t="s">
        <v>318</v>
      </c>
      <c r="M37" s="91" t="s">
        <v>318</v>
      </c>
      <c r="N37" s="91" t="s">
        <v>318</v>
      </c>
      <c r="O37" s="91">
        <f t="shared" si="1"/>
        <v>7</v>
      </c>
      <c r="P37" s="91">
        <f t="shared" si="2"/>
        <v>2</v>
      </c>
      <c r="Q37" s="95"/>
      <c r="R37" s="96"/>
      <c r="S37" s="96"/>
      <c r="T37" s="96"/>
      <c r="U37" s="96"/>
      <c r="V37" s="96"/>
      <c r="W37" s="96"/>
      <c r="X37" s="96"/>
      <c r="Y37" s="96"/>
      <c r="Z37" s="96"/>
    </row>
    <row r="38" ht="12.75" customHeight="1">
      <c r="A38" s="91">
        <v>36.0</v>
      </c>
      <c r="B38" s="92" t="s">
        <v>357</v>
      </c>
      <c r="C38" s="91">
        <v>23559.0</v>
      </c>
      <c r="D38" s="91" t="s">
        <v>318</v>
      </c>
      <c r="E38" s="91" t="s">
        <v>318</v>
      </c>
      <c r="F38" s="91" t="s">
        <v>318</v>
      </c>
      <c r="G38" s="91" t="s">
        <v>317</v>
      </c>
      <c r="H38" s="91" t="s">
        <v>318</v>
      </c>
      <c r="I38" s="91" t="s">
        <v>318</v>
      </c>
      <c r="J38" s="91" t="s">
        <v>318</v>
      </c>
      <c r="K38" s="91" t="s">
        <v>318</v>
      </c>
      <c r="L38" s="91" t="s">
        <v>317</v>
      </c>
      <c r="M38" s="91" t="s">
        <v>318</v>
      </c>
      <c r="N38" s="91" t="s">
        <v>318</v>
      </c>
      <c r="O38" s="91">
        <f t="shared" si="1"/>
        <v>9</v>
      </c>
      <c r="P38" s="91">
        <f t="shared" si="2"/>
        <v>0</v>
      </c>
      <c r="Q38" s="95"/>
      <c r="R38" s="96"/>
      <c r="S38" s="96"/>
      <c r="T38" s="96"/>
      <c r="U38" s="96"/>
      <c r="V38" s="96"/>
      <c r="W38" s="96"/>
      <c r="X38" s="96"/>
      <c r="Y38" s="96"/>
      <c r="Z38" s="96"/>
    </row>
    <row r="39" ht="12.75" customHeight="1">
      <c r="A39" s="91">
        <v>37.0</v>
      </c>
      <c r="B39" s="92" t="s">
        <v>358</v>
      </c>
      <c r="C39" s="91">
        <v>23494.0</v>
      </c>
      <c r="D39" s="91" t="s">
        <v>318</v>
      </c>
      <c r="E39" s="91" t="s">
        <v>318</v>
      </c>
      <c r="F39" s="91" t="s">
        <v>319</v>
      </c>
      <c r="G39" s="91" t="s">
        <v>318</v>
      </c>
      <c r="H39" s="91" t="s">
        <v>318</v>
      </c>
      <c r="I39" s="91" t="s">
        <v>317</v>
      </c>
      <c r="J39" s="91" t="s">
        <v>318</v>
      </c>
      <c r="K39" s="91" t="s">
        <v>318</v>
      </c>
      <c r="L39" s="91" t="s">
        <v>318</v>
      </c>
      <c r="M39" s="91" t="s">
        <v>317</v>
      </c>
      <c r="N39" s="91" t="s">
        <v>318</v>
      </c>
      <c r="O39" s="91">
        <f t="shared" si="1"/>
        <v>8</v>
      </c>
      <c r="P39" s="91">
        <f t="shared" si="2"/>
        <v>1</v>
      </c>
      <c r="Q39" s="95"/>
      <c r="R39" s="96"/>
      <c r="S39" s="96"/>
      <c r="T39" s="96"/>
      <c r="U39" s="96"/>
      <c r="V39" s="96"/>
      <c r="W39" s="96"/>
      <c r="X39" s="96"/>
      <c r="Y39" s="96"/>
      <c r="Z39" s="96"/>
    </row>
    <row r="40" ht="12.75" customHeight="1">
      <c r="A40" s="91">
        <v>38.0</v>
      </c>
      <c r="B40" s="92" t="s">
        <v>359</v>
      </c>
      <c r="C40" s="91">
        <v>23424.0</v>
      </c>
      <c r="D40" s="91" t="s">
        <v>318</v>
      </c>
      <c r="E40" s="91" t="s">
        <v>321</v>
      </c>
      <c r="F40" s="91" t="s">
        <v>318</v>
      </c>
      <c r="G40" s="91" t="s">
        <v>318</v>
      </c>
      <c r="H40" s="91" t="s">
        <v>318</v>
      </c>
      <c r="I40" s="91" t="s">
        <v>317</v>
      </c>
      <c r="J40" s="91" t="s">
        <v>318</v>
      </c>
      <c r="K40" s="91" t="s">
        <v>317</v>
      </c>
      <c r="L40" s="91" t="s">
        <v>317</v>
      </c>
      <c r="M40" s="91" t="s">
        <v>319</v>
      </c>
      <c r="N40" s="91" t="s">
        <v>319</v>
      </c>
      <c r="O40" s="91">
        <f t="shared" si="1"/>
        <v>5</v>
      </c>
      <c r="P40" s="91">
        <f t="shared" si="2"/>
        <v>2</v>
      </c>
      <c r="Q40" s="95"/>
      <c r="R40" s="96"/>
      <c r="S40" s="96"/>
      <c r="T40" s="96"/>
      <c r="U40" s="96"/>
      <c r="V40" s="96"/>
      <c r="W40" s="96"/>
      <c r="X40" s="96"/>
      <c r="Y40" s="96"/>
      <c r="Z40" s="96"/>
    </row>
    <row r="41" ht="12.75" customHeight="1">
      <c r="A41" s="91">
        <v>39.0</v>
      </c>
      <c r="B41" s="92" t="s">
        <v>360</v>
      </c>
      <c r="C41" s="91">
        <v>23428.0</v>
      </c>
      <c r="D41" s="91" t="s">
        <v>318</v>
      </c>
      <c r="E41" s="91" t="s">
        <v>318</v>
      </c>
      <c r="F41" s="91" t="s">
        <v>321</v>
      </c>
      <c r="G41" s="91" t="s">
        <v>319</v>
      </c>
      <c r="H41" s="91" t="s">
        <v>318</v>
      </c>
      <c r="I41" s="91" t="s">
        <v>319</v>
      </c>
      <c r="J41" s="91" t="s">
        <v>317</v>
      </c>
      <c r="K41" s="91" t="s">
        <v>318</v>
      </c>
      <c r="L41" s="91" t="s">
        <v>318</v>
      </c>
      <c r="M41" s="91" t="s">
        <v>317</v>
      </c>
      <c r="N41" s="91" t="s">
        <v>318</v>
      </c>
      <c r="O41" s="91">
        <f t="shared" si="1"/>
        <v>6</v>
      </c>
      <c r="P41" s="91">
        <f t="shared" si="2"/>
        <v>2</v>
      </c>
      <c r="Q41" s="95"/>
      <c r="R41" s="96"/>
      <c r="S41" s="96"/>
      <c r="T41" s="96"/>
      <c r="U41" s="96"/>
      <c r="V41" s="96"/>
      <c r="W41" s="96"/>
      <c r="X41" s="96"/>
      <c r="Y41" s="96"/>
      <c r="Z41" s="96"/>
    </row>
    <row r="42" ht="12.75" customHeight="1">
      <c r="A42" s="91">
        <v>40.0</v>
      </c>
      <c r="B42" s="92" t="s">
        <v>361</v>
      </c>
      <c r="C42" s="91">
        <v>23528.0</v>
      </c>
      <c r="D42" s="91" t="s">
        <v>321</v>
      </c>
      <c r="E42" s="91" t="s">
        <v>349</v>
      </c>
      <c r="F42" s="91" t="s">
        <v>318</v>
      </c>
      <c r="G42" s="91" t="s">
        <v>318</v>
      </c>
      <c r="H42" s="91" t="s">
        <v>317</v>
      </c>
      <c r="I42" s="91" t="s">
        <v>318</v>
      </c>
      <c r="J42" s="91" t="s">
        <v>318</v>
      </c>
      <c r="K42" s="91" t="s">
        <v>317</v>
      </c>
      <c r="L42" s="91" t="s">
        <v>318</v>
      </c>
      <c r="M42" s="91" t="s">
        <v>318</v>
      </c>
      <c r="N42" s="91" t="s">
        <v>317</v>
      </c>
      <c r="O42" s="91">
        <f t="shared" si="1"/>
        <v>7</v>
      </c>
      <c r="P42" s="91">
        <f t="shared" si="2"/>
        <v>0</v>
      </c>
      <c r="Q42" s="95"/>
      <c r="R42" s="96"/>
      <c r="S42" s="96"/>
      <c r="T42" s="96"/>
      <c r="U42" s="96"/>
      <c r="V42" s="96"/>
      <c r="W42" s="96"/>
      <c r="X42" s="96"/>
      <c r="Y42" s="96"/>
      <c r="Z42" s="96"/>
    </row>
    <row r="43" ht="12.75" customHeight="1">
      <c r="A43" s="91">
        <v>41.0</v>
      </c>
      <c r="B43" s="92" t="s">
        <v>362</v>
      </c>
      <c r="C43" s="91">
        <v>23557.0</v>
      </c>
      <c r="D43" s="91" t="s">
        <v>321</v>
      </c>
      <c r="E43" s="91" t="s">
        <v>318</v>
      </c>
      <c r="F43" s="91" t="s">
        <v>318</v>
      </c>
      <c r="G43" s="91" t="s">
        <v>318</v>
      </c>
      <c r="H43" s="91" t="s">
        <v>317</v>
      </c>
      <c r="I43" s="91" t="s">
        <v>318</v>
      </c>
      <c r="J43" s="91" t="s">
        <v>318</v>
      </c>
      <c r="K43" s="91" t="s">
        <v>318</v>
      </c>
      <c r="L43" s="91" t="s">
        <v>317</v>
      </c>
      <c r="M43" s="91" t="s">
        <v>317</v>
      </c>
      <c r="N43" s="91" t="s">
        <v>318</v>
      </c>
      <c r="O43" s="91">
        <f t="shared" si="1"/>
        <v>7</v>
      </c>
      <c r="P43" s="91">
        <f t="shared" si="2"/>
        <v>0</v>
      </c>
      <c r="Q43" s="95"/>
      <c r="R43" s="96"/>
      <c r="S43" s="96"/>
      <c r="T43" s="96"/>
      <c r="U43" s="96"/>
      <c r="V43" s="96"/>
      <c r="W43" s="96"/>
      <c r="X43" s="96"/>
      <c r="Y43" s="96"/>
      <c r="Z43" s="96"/>
    </row>
    <row r="44" ht="12.75" customHeight="1">
      <c r="A44" s="91">
        <v>42.0</v>
      </c>
      <c r="B44" s="92" t="s">
        <v>363</v>
      </c>
      <c r="C44" s="91">
        <v>23493.0</v>
      </c>
      <c r="D44" s="91" t="s">
        <v>318</v>
      </c>
      <c r="E44" s="91" t="s">
        <v>321</v>
      </c>
      <c r="F44" s="91" t="s">
        <v>318</v>
      </c>
      <c r="G44" s="91" t="s">
        <v>318</v>
      </c>
      <c r="H44" s="91" t="s">
        <v>318</v>
      </c>
      <c r="I44" s="91" t="s">
        <v>318</v>
      </c>
      <c r="J44" s="91" t="s">
        <v>318</v>
      </c>
      <c r="K44" s="91" t="s">
        <v>317</v>
      </c>
      <c r="L44" s="91" t="s">
        <v>317</v>
      </c>
      <c r="M44" s="91" t="s">
        <v>318</v>
      </c>
      <c r="N44" s="91" t="s">
        <v>318</v>
      </c>
      <c r="O44" s="91">
        <f t="shared" si="1"/>
        <v>8</v>
      </c>
      <c r="P44" s="91">
        <f t="shared" si="2"/>
        <v>0</v>
      </c>
      <c r="Q44" s="95"/>
      <c r="R44" s="96"/>
      <c r="S44" s="96"/>
      <c r="T44" s="96"/>
      <c r="U44" s="96"/>
      <c r="V44" s="96"/>
      <c r="W44" s="96"/>
      <c r="X44" s="96"/>
      <c r="Y44" s="96"/>
      <c r="Z44" s="96"/>
    </row>
    <row r="45" ht="12.75" customHeight="1">
      <c r="A45" s="91">
        <v>43.0</v>
      </c>
      <c r="B45" s="92" t="s">
        <v>364</v>
      </c>
      <c r="C45" s="91">
        <v>23637.0</v>
      </c>
      <c r="D45" s="91" t="s">
        <v>321</v>
      </c>
      <c r="E45" s="91" t="s">
        <v>349</v>
      </c>
      <c r="F45" s="91" t="s">
        <v>318</v>
      </c>
      <c r="G45" s="91" t="s">
        <v>318</v>
      </c>
      <c r="H45" s="91" t="s">
        <v>318</v>
      </c>
      <c r="I45" s="91" t="s">
        <v>317</v>
      </c>
      <c r="J45" s="91" t="s">
        <v>317</v>
      </c>
      <c r="K45" s="91" t="s">
        <v>317</v>
      </c>
      <c r="L45" s="91" t="s">
        <v>318</v>
      </c>
      <c r="M45" s="91" t="s">
        <v>318</v>
      </c>
      <c r="N45" s="91" t="s">
        <v>336</v>
      </c>
      <c r="O45" s="91">
        <f t="shared" si="1"/>
        <v>6</v>
      </c>
      <c r="P45" s="91">
        <f t="shared" si="2"/>
        <v>0</v>
      </c>
      <c r="Q45" s="95"/>
      <c r="R45" s="96"/>
      <c r="S45" s="96"/>
      <c r="T45" s="96"/>
      <c r="U45" s="96"/>
      <c r="V45" s="96"/>
      <c r="W45" s="96"/>
      <c r="X45" s="96"/>
      <c r="Y45" s="96"/>
      <c r="Z45" s="96"/>
    </row>
    <row r="46" ht="12.75" customHeight="1">
      <c r="A46" s="91">
        <v>44.0</v>
      </c>
      <c r="B46" s="92" t="s">
        <v>365</v>
      </c>
      <c r="C46" s="91">
        <v>23524.0</v>
      </c>
      <c r="D46" s="91" t="s">
        <v>318</v>
      </c>
      <c r="E46" s="91" t="s">
        <v>318</v>
      </c>
      <c r="F46" s="91" t="s">
        <v>321</v>
      </c>
      <c r="G46" s="91" t="s">
        <v>318</v>
      </c>
      <c r="H46" s="91" t="s">
        <v>318</v>
      </c>
      <c r="I46" s="91" t="s">
        <v>317</v>
      </c>
      <c r="J46" s="91" t="s">
        <v>318</v>
      </c>
      <c r="K46" s="91" t="s">
        <v>318</v>
      </c>
      <c r="L46" s="91" t="s">
        <v>318</v>
      </c>
      <c r="M46" s="91" t="s">
        <v>317</v>
      </c>
      <c r="N46" s="91" t="s">
        <v>318</v>
      </c>
      <c r="O46" s="91">
        <f t="shared" si="1"/>
        <v>8</v>
      </c>
      <c r="P46" s="91">
        <f t="shared" si="2"/>
        <v>0</v>
      </c>
      <c r="Q46" s="95"/>
      <c r="R46" s="96"/>
      <c r="S46" s="96"/>
      <c r="T46" s="96"/>
      <c r="U46" s="96"/>
      <c r="V46" s="96"/>
      <c r="W46" s="96"/>
      <c r="X46" s="96"/>
      <c r="Y46" s="96"/>
      <c r="Z46" s="96"/>
    </row>
    <row r="47" ht="12.75" customHeight="1">
      <c r="A47" s="91">
        <v>45.0</v>
      </c>
      <c r="B47" s="92" t="s">
        <v>366</v>
      </c>
      <c r="C47" s="91">
        <v>24965.0</v>
      </c>
      <c r="D47" s="91" t="s">
        <v>321</v>
      </c>
      <c r="E47" s="91" t="s">
        <v>318</v>
      </c>
      <c r="F47" s="91" t="s">
        <v>318</v>
      </c>
      <c r="G47" s="91" t="s">
        <v>318</v>
      </c>
      <c r="H47" s="91" t="s">
        <v>318</v>
      </c>
      <c r="I47" s="91" t="s">
        <v>317</v>
      </c>
      <c r="J47" s="91" t="s">
        <v>318</v>
      </c>
      <c r="K47" s="91" t="s">
        <v>317</v>
      </c>
      <c r="L47" s="91" t="s">
        <v>317</v>
      </c>
      <c r="M47" s="91" t="s">
        <v>317</v>
      </c>
      <c r="N47" s="91" t="s">
        <v>318</v>
      </c>
      <c r="O47" s="91">
        <f t="shared" si="1"/>
        <v>6</v>
      </c>
      <c r="P47" s="91">
        <f t="shared" si="2"/>
        <v>0</v>
      </c>
      <c r="Q47" s="95"/>
      <c r="R47" s="96"/>
      <c r="S47" s="96"/>
      <c r="T47" s="96"/>
      <c r="U47" s="96"/>
      <c r="V47" s="96"/>
      <c r="W47" s="96"/>
      <c r="X47" s="96"/>
      <c r="Y47" s="96"/>
      <c r="Z47" s="96"/>
    </row>
    <row r="48" ht="12.75" customHeight="1">
      <c r="A48" s="91">
        <v>46.0</v>
      </c>
      <c r="B48" s="92" t="s">
        <v>367</v>
      </c>
      <c r="C48" s="91">
        <v>30305.0</v>
      </c>
      <c r="D48" s="91" t="s">
        <v>321</v>
      </c>
      <c r="E48" s="91" t="s">
        <v>318</v>
      </c>
      <c r="F48" s="91" t="s">
        <v>318</v>
      </c>
      <c r="G48" s="91" t="s">
        <v>317</v>
      </c>
      <c r="H48" s="91" t="s">
        <v>317</v>
      </c>
      <c r="I48" s="91" t="s">
        <v>318</v>
      </c>
      <c r="J48" s="91" t="s">
        <v>318</v>
      </c>
      <c r="K48" s="91" t="s">
        <v>317</v>
      </c>
      <c r="L48" s="91" t="s">
        <v>318</v>
      </c>
      <c r="M48" s="91" t="s">
        <v>319</v>
      </c>
      <c r="N48" s="91" t="s">
        <v>317</v>
      </c>
      <c r="O48" s="91">
        <f t="shared" si="1"/>
        <v>5</v>
      </c>
      <c r="P48" s="91">
        <f t="shared" si="2"/>
        <v>1</v>
      </c>
      <c r="Q48" s="95"/>
      <c r="R48" s="96"/>
      <c r="S48" s="96"/>
      <c r="T48" s="96"/>
      <c r="U48" s="96"/>
      <c r="V48" s="96"/>
      <c r="W48" s="96"/>
      <c r="X48" s="96"/>
      <c r="Y48" s="96"/>
      <c r="Z48" s="96"/>
    </row>
    <row r="49" ht="12.75" customHeight="1">
      <c r="A49" s="91">
        <v>47.0</v>
      </c>
      <c r="B49" s="92" t="s">
        <v>368</v>
      </c>
      <c r="C49" s="91">
        <v>23569.0</v>
      </c>
      <c r="D49" s="91" t="s">
        <v>318</v>
      </c>
      <c r="E49" s="91" t="s">
        <v>318</v>
      </c>
      <c r="F49" s="91" t="s">
        <v>321</v>
      </c>
      <c r="G49" s="91" t="s">
        <v>318</v>
      </c>
      <c r="H49" s="91" t="s">
        <v>336</v>
      </c>
      <c r="I49" s="91" t="s">
        <v>317</v>
      </c>
      <c r="J49" s="91" t="s">
        <v>318</v>
      </c>
      <c r="K49" s="91" t="s">
        <v>318</v>
      </c>
      <c r="L49" s="91" t="s">
        <v>318</v>
      </c>
      <c r="M49" s="91" t="s">
        <v>318</v>
      </c>
      <c r="N49" s="91" t="s">
        <v>317</v>
      </c>
      <c r="O49" s="91">
        <f t="shared" si="1"/>
        <v>7</v>
      </c>
      <c r="P49" s="91">
        <f t="shared" si="2"/>
        <v>0</v>
      </c>
      <c r="Q49" s="95"/>
      <c r="R49" s="96"/>
      <c r="S49" s="96"/>
      <c r="T49" s="96"/>
      <c r="U49" s="96"/>
      <c r="V49" s="96"/>
      <c r="W49" s="96"/>
      <c r="X49" s="96"/>
      <c r="Y49" s="96"/>
      <c r="Z49" s="96"/>
    </row>
    <row r="50" ht="12.75" customHeight="1">
      <c r="A50" s="91">
        <v>48.0</v>
      </c>
      <c r="B50" s="92" t="s">
        <v>369</v>
      </c>
      <c r="C50" s="91">
        <v>23512.0</v>
      </c>
      <c r="D50" s="91" t="s">
        <v>321</v>
      </c>
      <c r="E50" s="91" t="s">
        <v>321</v>
      </c>
      <c r="F50" s="91" t="s">
        <v>318</v>
      </c>
      <c r="G50" s="91" t="s">
        <v>318</v>
      </c>
      <c r="H50" s="91" t="s">
        <v>318</v>
      </c>
      <c r="I50" s="91" t="s">
        <v>318</v>
      </c>
      <c r="J50" s="91" t="s">
        <v>318</v>
      </c>
      <c r="K50" s="91" t="s">
        <v>317</v>
      </c>
      <c r="L50" s="91" t="s">
        <v>317</v>
      </c>
      <c r="M50" s="91" t="s">
        <v>319</v>
      </c>
      <c r="N50" s="91" t="s">
        <v>319</v>
      </c>
      <c r="O50" s="91">
        <f t="shared" si="1"/>
        <v>5</v>
      </c>
      <c r="P50" s="91">
        <f t="shared" si="2"/>
        <v>2</v>
      </c>
      <c r="Q50" s="95"/>
      <c r="R50" s="96"/>
      <c r="S50" s="96"/>
      <c r="T50" s="96"/>
      <c r="U50" s="96"/>
      <c r="V50" s="96"/>
      <c r="W50" s="96"/>
      <c r="X50" s="96"/>
      <c r="Y50" s="96"/>
      <c r="Z50" s="96"/>
    </row>
    <row r="51" ht="12.75" customHeight="1">
      <c r="A51" s="91">
        <v>49.0</v>
      </c>
      <c r="B51" s="92" t="s">
        <v>370</v>
      </c>
      <c r="C51" s="91">
        <v>33835.0</v>
      </c>
      <c r="D51" s="91" t="s">
        <v>319</v>
      </c>
      <c r="E51" s="91" t="s">
        <v>319</v>
      </c>
      <c r="F51" s="91" t="s">
        <v>318</v>
      </c>
      <c r="G51" s="91" t="s">
        <v>318</v>
      </c>
      <c r="H51" s="91" t="s">
        <v>317</v>
      </c>
      <c r="I51" s="91" t="s">
        <v>317</v>
      </c>
      <c r="J51" s="91" t="s">
        <v>318</v>
      </c>
      <c r="K51" s="91" t="s">
        <v>318</v>
      </c>
      <c r="L51" s="91" t="s">
        <v>318</v>
      </c>
      <c r="M51" s="91" t="s">
        <v>318</v>
      </c>
      <c r="N51" s="91" t="s">
        <v>318</v>
      </c>
      <c r="O51" s="91">
        <f t="shared" si="1"/>
        <v>7</v>
      </c>
      <c r="P51" s="91">
        <f t="shared" si="2"/>
        <v>2</v>
      </c>
      <c r="Q51" s="95"/>
      <c r="R51" s="96"/>
      <c r="S51" s="96"/>
      <c r="T51" s="96"/>
      <c r="U51" s="96"/>
      <c r="V51" s="96"/>
      <c r="W51" s="96"/>
      <c r="X51" s="96"/>
      <c r="Y51" s="96"/>
      <c r="Z51" s="96"/>
    </row>
    <row r="52" ht="12.75" customHeight="1">
      <c r="A52" s="91">
        <v>50.0</v>
      </c>
      <c r="B52" s="92" t="s">
        <v>371</v>
      </c>
      <c r="C52" s="91">
        <v>30310.0</v>
      </c>
      <c r="D52" s="91" t="s">
        <v>318</v>
      </c>
      <c r="E52" s="91" t="s">
        <v>318</v>
      </c>
      <c r="F52" s="91" t="s">
        <v>318</v>
      </c>
      <c r="G52" s="91" t="s">
        <v>318</v>
      </c>
      <c r="H52" s="91" t="s">
        <v>336</v>
      </c>
      <c r="I52" s="91" t="s">
        <v>318</v>
      </c>
      <c r="J52" s="91" t="s">
        <v>318</v>
      </c>
      <c r="K52" s="91" t="s">
        <v>318</v>
      </c>
      <c r="L52" s="91" t="s">
        <v>317</v>
      </c>
      <c r="M52" s="91" t="s">
        <v>318</v>
      </c>
      <c r="N52" s="91" t="s">
        <v>318</v>
      </c>
      <c r="O52" s="91">
        <f t="shared" si="1"/>
        <v>9</v>
      </c>
      <c r="P52" s="91">
        <f t="shared" si="2"/>
        <v>0</v>
      </c>
      <c r="Q52" s="95"/>
      <c r="R52" s="96"/>
      <c r="S52" s="96"/>
      <c r="T52" s="96"/>
      <c r="U52" s="96"/>
      <c r="V52" s="96"/>
      <c r="W52" s="96"/>
      <c r="X52" s="96"/>
      <c r="Y52" s="96"/>
      <c r="Z52" s="96"/>
    </row>
    <row r="53" ht="12.75" customHeight="1">
      <c r="A53" s="91">
        <v>51.0</v>
      </c>
      <c r="B53" s="92" t="s">
        <v>372</v>
      </c>
      <c r="C53" s="91">
        <v>30304.0</v>
      </c>
      <c r="D53" s="91" t="s">
        <v>318</v>
      </c>
      <c r="E53" s="91" t="s">
        <v>321</v>
      </c>
      <c r="F53" s="91" t="s">
        <v>321</v>
      </c>
      <c r="G53" s="91" t="s">
        <v>318</v>
      </c>
      <c r="H53" s="91" t="s">
        <v>317</v>
      </c>
      <c r="I53" s="91" t="s">
        <v>318</v>
      </c>
      <c r="J53" s="91" t="s">
        <v>318</v>
      </c>
      <c r="K53" s="91" t="s">
        <v>318</v>
      </c>
      <c r="L53" s="91" t="s">
        <v>317</v>
      </c>
      <c r="M53" s="91" t="s">
        <v>318</v>
      </c>
      <c r="N53" s="91" t="s">
        <v>318</v>
      </c>
      <c r="O53" s="91">
        <f t="shared" si="1"/>
        <v>7</v>
      </c>
      <c r="P53" s="91">
        <f t="shared" si="2"/>
        <v>0</v>
      </c>
      <c r="Q53" s="95"/>
      <c r="R53" s="96"/>
      <c r="S53" s="96"/>
      <c r="T53" s="96"/>
      <c r="U53" s="96"/>
      <c r="V53" s="96"/>
      <c r="W53" s="96"/>
      <c r="X53" s="96"/>
      <c r="Y53" s="96"/>
      <c r="Z53" s="96"/>
    </row>
    <row r="54" ht="12.75" customHeight="1">
      <c r="A54" s="91">
        <v>52.0</v>
      </c>
      <c r="B54" s="92" t="s">
        <v>373</v>
      </c>
      <c r="C54" s="91">
        <v>30313.0</v>
      </c>
      <c r="D54" s="91" t="s">
        <v>318</v>
      </c>
      <c r="E54" s="91" t="s">
        <v>318</v>
      </c>
      <c r="F54" s="91" t="s">
        <v>318</v>
      </c>
      <c r="G54" s="91" t="s">
        <v>317</v>
      </c>
      <c r="H54" s="91" t="s">
        <v>318</v>
      </c>
      <c r="I54" s="91" t="s">
        <v>317</v>
      </c>
      <c r="J54" s="91" t="s">
        <v>318</v>
      </c>
      <c r="K54" s="91" t="s">
        <v>318</v>
      </c>
      <c r="L54" s="91" t="s">
        <v>318</v>
      </c>
      <c r="M54" s="91" t="s">
        <v>318</v>
      </c>
      <c r="N54" s="91" t="s">
        <v>317</v>
      </c>
      <c r="O54" s="91">
        <f t="shared" si="1"/>
        <v>8</v>
      </c>
      <c r="P54" s="91">
        <f t="shared" si="2"/>
        <v>0</v>
      </c>
      <c r="Q54" s="95"/>
      <c r="R54" s="96"/>
      <c r="S54" s="96"/>
      <c r="T54" s="96"/>
      <c r="U54" s="96"/>
      <c r="V54" s="96"/>
      <c r="W54" s="96"/>
      <c r="X54" s="96"/>
      <c r="Y54" s="96"/>
      <c r="Z54" s="96"/>
    </row>
    <row r="55" ht="12.75" customHeight="1">
      <c r="A55" s="91">
        <v>53.0</v>
      </c>
      <c r="B55" s="92" t="s">
        <v>374</v>
      </c>
      <c r="C55" s="91">
        <v>33852.0</v>
      </c>
      <c r="D55" s="91" t="s">
        <v>321</v>
      </c>
      <c r="E55" s="91" t="s">
        <v>318</v>
      </c>
      <c r="F55" s="91" t="s">
        <v>318</v>
      </c>
      <c r="G55" s="91" t="s">
        <v>318</v>
      </c>
      <c r="H55" s="91" t="s">
        <v>317</v>
      </c>
      <c r="I55" s="91" t="s">
        <v>318</v>
      </c>
      <c r="J55" s="91" t="s">
        <v>318</v>
      </c>
      <c r="K55" s="91" t="s">
        <v>317</v>
      </c>
      <c r="L55" s="91" t="s">
        <v>349</v>
      </c>
      <c r="M55" s="91" t="s">
        <v>317</v>
      </c>
      <c r="N55" s="91" t="s">
        <v>318</v>
      </c>
      <c r="O55" s="91">
        <f t="shared" si="1"/>
        <v>7</v>
      </c>
      <c r="P55" s="91">
        <f t="shared" si="2"/>
        <v>0</v>
      </c>
      <c r="Q55" s="95"/>
      <c r="R55" s="96"/>
      <c r="S55" s="96"/>
      <c r="T55" s="96"/>
      <c r="U55" s="96"/>
      <c r="V55" s="96"/>
      <c r="W55" s="96"/>
      <c r="X55" s="96"/>
      <c r="Y55" s="96"/>
      <c r="Z55" s="96"/>
    </row>
    <row r="56" ht="12.75" customHeight="1">
      <c r="A56" s="91">
        <v>54.0</v>
      </c>
      <c r="B56" s="92" t="s">
        <v>375</v>
      </c>
      <c r="C56" s="91">
        <v>25038.0</v>
      </c>
      <c r="D56" s="91" t="s">
        <v>318</v>
      </c>
      <c r="E56" s="91" t="s">
        <v>318</v>
      </c>
      <c r="F56" s="91" t="s">
        <v>318</v>
      </c>
      <c r="G56" s="91" t="s">
        <v>317</v>
      </c>
      <c r="H56" s="91" t="s">
        <v>317</v>
      </c>
      <c r="I56" s="91" t="s">
        <v>318</v>
      </c>
      <c r="J56" s="91" t="s">
        <v>318</v>
      </c>
      <c r="K56" s="91" t="s">
        <v>318</v>
      </c>
      <c r="L56" s="91" t="s">
        <v>318</v>
      </c>
      <c r="M56" s="91" t="s">
        <v>318</v>
      </c>
      <c r="N56" s="91" t="s">
        <v>317</v>
      </c>
      <c r="O56" s="91">
        <f t="shared" si="1"/>
        <v>8</v>
      </c>
      <c r="P56" s="91">
        <f t="shared" si="2"/>
        <v>0</v>
      </c>
      <c r="Q56" s="95"/>
      <c r="R56" s="96"/>
      <c r="S56" s="96"/>
      <c r="T56" s="96"/>
      <c r="U56" s="96"/>
      <c r="V56" s="96"/>
      <c r="W56" s="96"/>
      <c r="X56" s="96"/>
      <c r="Y56" s="96"/>
      <c r="Z56" s="96"/>
    </row>
    <row r="57" ht="12.75" customHeight="1">
      <c r="A57" s="91">
        <v>55.0</v>
      </c>
      <c r="B57" s="92" t="s">
        <v>376</v>
      </c>
      <c r="C57" s="91">
        <v>33813.0</v>
      </c>
      <c r="D57" s="91" t="s">
        <v>318</v>
      </c>
      <c r="E57" s="91" t="s">
        <v>318</v>
      </c>
      <c r="F57" s="91" t="s">
        <v>321</v>
      </c>
      <c r="G57" s="91" t="s">
        <v>318</v>
      </c>
      <c r="H57" s="91" t="s">
        <v>318</v>
      </c>
      <c r="I57" s="91" t="s">
        <v>318</v>
      </c>
      <c r="J57" s="91" t="s">
        <v>317</v>
      </c>
      <c r="K57" s="91" t="s">
        <v>318</v>
      </c>
      <c r="L57" s="91" t="s">
        <v>318</v>
      </c>
      <c r="M57" s="91" t="s">
        <v>317</v>
      </c>
      <c r="N57" s="91" t="s">
        <v>318</v>
      </c>
      <c r="O57" s="91">
        <f t="shared" si="1"/>
        <v>8</v>
      </c>
      <c r="P57" s="91">
        <f t="shared" si="2"/>
        <v>0</v>
      </c>
      <c r="Q57" s="95"/>
      <c r="R57" s="96"/>
      <c r="S57" s="96"/>
      <c r="T57" s="96"/>
      <c r="U57" s="96"/>
      <c r="V57" s="96"/>
      <c r="W57" s="96"/>
      <c r="X57" s="96"/>
      <c r="Y57" s="96"/>
      <c r="Z57" s="96"/>
    </row>
    <row r="58" ht="12.75" customHeight="1">
      <c r="A58" s="91" t="s">
        <v>321</v>
      </c>
      <c r="B58" s="92" t="s">
        <v>377</v>
      </c>
      <c r="C58" s="91">
        <v>30364.0</v>
      </c>
      <c r="D58" s="91" t="s">
        <v>318</v>
      </c>
      <c r="E58" s="91" t="s">
        <v>321</v>
      </c>
      <c r="F58" s="91" t="s">
        <v>319</v>
      </c>
      <c r="G58" s="91" t="s">
        <v>317</v>
      </c>
      <c r="H58" s="91" t="s">
        <v>318</v>
      </c>
      <c r="I58" s="91" t="s">
        <v>317</v>
      </c>
      <c r="J58" s="91" t="s">
        <v>317</v>
      </c>
      <c r="K58" s="91" t="s">
        <v>318</v>
      </c>
      <c r="L58" s="91" t="s">
        <v>318</v>
      </c>
      <c r="M58" s="91" t="s">
        <v>318</v>
      </c>
      <c r="N58" s="91" t="s">
        <v>317</v>
      </c>
      <c r="O58" s="91">
        <f t="shared" si="1"/>
        <v>5</v>
      </c>
      <c r="P58" s="91">
        <f t="shared" si="2"/>
        <v>1</v>
      </c>
      <c r="Q58" s="95"/>
      <c r="R58" s="96"/>
      <c r="S58" s="96"/>
      <c r="T58" s="96"/>
      <c r="U58" s="96"/>
      <c r="V58" s="96"/>
      <c r="W58" s="96"/>
      <c r="X58" s="96"/>
      <c r="Y58" s="96"/>
      <c r="Z58" s="96"/>
    </row>
    <row r="59" ht="12.75" customHeight="1">
      <c r="A59" s="91">
        <v>57.0</v>
      </c>
      <c r="B59" s="92" t="s">
        <v>378</v>
      </c>
      <c r="C59" s="91">
        <v>30371.0</v>
      </c>
      <c r="D59" s="91" t="s">
        <v>318</v>
      </c>
      <c r="E59" s="91" t="s">
        <v>318</v>
      </c>
      <c r="F59" s="91" t="s">
        <v>321</v>
      </c>
      <c r="G59" s="91" t="s">
        <v>318</v>
      </c>
      <c r="H59" s="91" t="s">
        <v>318</v>
      </c>
      <c r="I59" s="91" t="s">
        <v>319</v>
      </c>
      <c r="J59" s="91" t="s">
        <v>317</v>
      </c>
      <c r="K59" s="91" t="s">
        <v>318</v>
      </c>
      <c r="L59" s="91" t="s">
        <v>318</v>
      </c>
      <c r="M59" s="91" t="s">
        <v>318</v>
      </c>
      <c r="N59" s="91" t="s">
        <v>318</v>
      </c>
      <c r="O59" s="91">
        <f t="shared" si="1"/>
        <v>8</v>
      </c>
      <c r="P59" s="91">
        <f t="shared" si="2"/>
        <v>1</v>
      </c>
      <c r="Q59" s="95"/>
      <c r="R59" s="96"/>
      <c r="S59" s="96"/>
      <c r="T59" s="96"/>
      <c r="U59" s="96"/>
      <c r="V59" s="96"/>
      <c r="W59" s="96"/>
      <c r="X59" s="96"/>
      <c r="Y59" s="96"/>
      <c r="Z59" s="96"/>
    </row>
    <row r="60" ht="12.75" customHeight="1">
      <c r="A60" s="91">
        <v>58.0</v>
      </c>
      <c r="B60" s="92" t="s">
        <v>379</v>
      </c>
      <c r="C60" s="91">
        <v>25091.0</v>
      </c>
      <c r="D60" s="91" t="s">
        <v>321</v>
      </c>
      <c r="E60" s="91" t="s">
        <v>318</v>
      </c>
      <c r="F60" s="91" t="s">
        <v>321</v>
      </c>
      <c r="G60" s="91" t="s">
        <v>319</v>
      </c>
      <c r="H60" s="91" t="s">
        <v>319</v>
      </c>
      <c r="I60" s="91" t="s">
        <v>319</v>
      </c>
      <c r="J60" s="91" t="s">
        <v>318</v>
      </c>
      <c r="K60" s="91" t="s">
        <v>318</v>
      </c>
      <c r="L60" s="91" t="s">
        <v>317</v>
      </c>
      <c r="M60" s="91" t="s">
        <v>349</v>
      </c>
      <c r="N60" s="91" t="s">
        <v>318</v>
      </c>
      <c r="O60" s="91">
        <f t="shared" si="1"/>
        <v>5</v>
      </c>
      <c r="P60" s="91">
        <f t="shared" si="2"/>
        <v>3</v>
      </c>
      <c r="Q60" s="95"/>
      <c r="R60" s="96"/>
      <c r="S60" s="96"/>
      <c r="T60" s="96"/>
      <c r="U60" s="96"/>
      <c r="V60" s="96"/>
      <c r="W60" s="96"/>
      <c r="X60" s="96"/>
      <c r="Y60" s="96"/>
      <c r="Z60" s="96"/>
    </row>
    <row r="61" ht="12.75" customHeight="1">
      <c r="A61" s="91">
        <v>59.0</v>
      </c>
      <c r="B61" s="92" t="s">
        <v>380</v>
      </c>
      <c r="C61" s="91">
        <v>30315.0</v>
      </c>
      <c r="D61" s="91" t="s">
        <v>318</v>
      </c>
      <c r="E61" s="91" t="s">
        <v>321</v>
      </c>
      <c r="F61" s="91" t="s">
        <v>321</v>
      </c>
      <c r="G61" s="91" t="s">
        <v>319</v>
      </c>
      <c r="H61" s="91" t="s">
        <v>319</v>
      </c>
      <c r="I61" s="91" t="s">
        <v>318</v>
      </c>
      <c r="J61" s="91" t="s">
        <v>318</v>
      </c>
      <c r="K61" s="91" t="s">
        <v>318</v>
      </c>
      <c r="L61" s="91" t="s">
        <v>317</v>
      </c>
      <c r="M61" s="91" t="s">
        <v>317</v>
      </c>
      <c r="N61" s="91" t="s">
        <v>318</v>
      </c>
      <c r="O61" s="91">
        <f t="shared" si="1"/>
        <v>5</v>
      </c>
      <c r="P61" s="91">
        <f t="shared" si="2"/>
        <v>2</v>
      </c>
      <c r="Q61" s="95"/>
      <c r="R61" s="96"/>
      <c r="S61" s="96"/>
      <c r="T61" s="96"/>
      <c r="U61" s="96"/>
      <c r="V61" s="96"/>
      <c r="W61" s="96"/>
      <c r="X61" s="96"/>
      <c r="Y61" s="96"/>
      <c r="Z61" s="96"/>
    </row>
    <row r="62" ht="12.75" customHeight="1">
      <c r="A62" s="91">
        <v>60.0</v>
      </c>
      <c r="B62" s="92" t="s">
        <v>381</v>
      </c>
      <c r="C62" s="91">
        <v>23532.0</v>
      </c>
      <c r="D62" s="91" t="s">
        <v>321</v>
      </c>
      <c r="E62" s="91" t="s">
        <v>318</v>
      </c>
      <c r="F62" s="91" t="s">
        <v>318</v>
      </c>
      <c r="G62" s="91" t="s">
        <v>317</v>
      </c>
      <c r="H62" s="91" t="s">
        <v>318</v>
      </c>
      <c r="I62" s="91" t="s">
        <v>318</v>
      </c>
      <c r="J62" s="91" t="s">
        <v>318</v>
      </c>
      <c r="K62" s="91" t="s">
        <v>317</v>
      </c>
      <c r="L62" s="91" t="s">
        <v>318</v>
      </c>
      <c r="M62" s="91" t="s">
        <v>318</v>
      </c>
      <c r="N62" s="91" t="s">
        <v>317</v>
      </c>
      <c r="O62" s="91">
        <f t="shared" si="1"/>
        <v>7</v>
      </c>
      <c r="P62" s="91">
        <f t="shared" si="2"/>
        <v>0</v>
      </c>
      <c r="Q62" s="95"/>
      <c r="R62" s="96"/>
      <c r="S62" s="96"/>
      <c r="T62" s="96"/>
      <c r="U62" s="96"/>
      <c r="V62" s="96"/>
      <c r="W62" s="96"/>
      <c r="X62" s="96"/>
      <c r="Y62" s="96"/>
      <c r="Z62" s="96"/>
    </row>
    <row r="63" ht="12.75" customHeight="1">
      <c r="A63" s="91">
        <v>61.0</v>
      </c>
      <c r="B63" s="92" t="s">
        <v>382</v>
      </c>
      <c r="C63" s="91">
        <v>30369.0</v>
      </c>
      <c r="D63" s="91" t="s">
        <v>318</v>
      </c>
      <c r="E63" s="91" t="s">
        <v>318</v>
      </c>
      <c r="F63" s="91" t="s">
        <v>318</v>
      </c>
      <c r="G63" s="91" t="s">
        <v>317</v>
      </c>
      <c r="H63" s="91" t="s">
        <v>318</v>
      </c>
      <c r="I63" s="91" t="s">
        <v>317</v>
      </c>
      <c r="J63" s="91" t="s">
        <v>318</v>
      </c>
      <c r="K63" s="91" t="s">
        <v>318</v>
      </c>
      <c r="L63" s="91" t="s">
        <v>318</v>
      </c>
      <c r="M63" s="91" t="s">
        <v>318</v>
      </c>
      <c r="N63" s="91" t="s">
        <v>317</v>
      </c>
      <c r="O63" s="91">
        <f t="shared" si="1"/>
        <v>8</v>
      </c>
      <c r="P63" s="91">
        <f t="shared" si="2"/>
        <v>0</v>
      </c>
      <c r="Q63" s="95"/>
      <c r="R63" s="96"/>
      <c r="S63" s="96"/>
      <c r="T63" s="96"/>
      <c r="U63" s="96"/>
      <c r="V63" s="96"/>
      <c r="W63" s="96"/>
      <c r="X63" s="96"/>
      <c r="Y63" s="96"/>
      <c r="Z63" s="96"/>
    </row>
    <row r="64" ht="12.75" customHeight="1">
      <c r="A64" s="91">
        <v>62.0</v>
      </c>
      <c r="B64" s="92" t="s">
        <v>383</v>
      </c>
      <c r="C64" s="91">
        <v>30302.0</v>
      </c>
      <c r="D64" s="91" t="s">
        <v>319</v>
      </c>
      <c r="E64" s="91" t="s">
        <v>318</v>
      </c>
      <c r="F64" s="91" t="s">
        <v>318</v>
      </c>
      <c r="G64" s="91" t="s">
        <v>318</v>
      </c>
      <c r="H64" s="91" t="s">
        <v>318</v>
      </c>
      <c r="I64" s="91" t="s">
        <v>317</v>
      </c>
      <c r="J64" s="91" t="s">
        <v>317</v>
      </c>
      <c r="K64" s="91" t="s">
        <v>318</v>
      </c>
      <c r="L64" s="91" t="s">
        <v>318</v>
      </c>
      <c r="M64" s="91" t="s">
        <v>318</v>
      </c>
      <c r="N64" s="91" t="s">
        <v>318</v>
      </c>
      <c r="O64" s="91">
        <f t="shared" si="1"/>
        <v>8</v>
      </c>
      <c r="P64" s="91">
        <f t="shared" si="2"/>
        <v>1</v>
      </c>
      <c r="Q64" s="95"/>
      <c r="R64" s="96"/>
      <c r="S64" s="96"/>
      <c r="T64" s="96"/>
      <c r="U64" s="96"/>
      <c r="V64" s="96"/>
      <c r="W64" s="96"/>
      <c r="X64" s="96"/>
      <c r="Y64" s="96"/>
      <c r="Z64" s="96"/>
    </row>
    <row r="65" ht="12.75" customHeight="1">
      <c r="A65" s="91">
        <v>63.0</v>
      </c>
      <c r="B65" s="92" t="s">
        <v>384</v>
      </c>
      <c r="C65" s="91">
        <v>23504.0</v>
      </c>
      <c r="D65" s="91" t="s">
        <v>318</v>
      </c>
      <c r="E65" s="91" t="s">
        <v>318</v>
      </c>
      <c r="F65" s="91" t="s">
        <v>321</v>
      </c>
      <c r="G65" s="91" t="s">
        <v>318</v>
      </c>
      <c r="H65" s="91" t="s">
        <v>318</v>
      </c>
      <c r="I65" s="91" t="s">
        <v>318</v>
      </c>
      <c r="J65" s="91" t="s">
        <v>317</v>
      </c>
      <c r="K65" s="91" t="s">
        <v>318</v>
      </c>
      <c r="L65" s="91" t="s">
        <v>318</v>
      </c>
      <c r="M65" s="91" t="s">
        <v>317</v>
      </c>
      <c r="N65" s="91" t="s">
        <v>318</v>
      </c>
      <c r="O65" s="91">
        <f t="shared" si="1"/>
        <v>8</v>
      </c>
      <c r="P65" s="91">
        <f t="shared" si="2"/>
        <v>0</v>
      </c>
      <c r="Q65" s="95"/>
      <c r="R65" s="96"/>
      <c r="S65" s="96"/>
      <c r="T65" s="96"/>
      <c r="U65" s="96"/>
      <c r="V65" s="96"/>
      <c r="W65" s="96"/>
      <c r="X65" s="96"/>
      <c r="Y65" s="96"/>
      <c r="Z65" s="96"/>
    </row>
    <row r="66" ht="12.75" customHeight="1">
      <c r="A66" s="91">
        <v>64.0</v>
      </c>
      <c r="B66" s="92" t="s">
        <v>385</v>
      </c>
      <c r="C66" s="91">
        <v>23495.0</v>
      </c>
      <c r="D66" s="91" t="s">
        <v>321</v>
      </c>
      <c r="E66" s="91" t="s">
        <v>316</v>
      </c>
      <c r="F66" s="91" t="s">
        <v>336</v>
      </c>
      <c r="G66" s="91" t="s">
        <v>336</v>
      </c>
      <c r="H66" s="91" t="s">
        <v>336</v>
      </c>
      <c r="I66" s="91" t="s">
        <v>336</v>
      </c>
      <c r="J66" s="91" t="s">
        <v>316</v>
      </c>
      <c r="K66" s="91" t="s">
        <v>316</v>
      </c>
      <c r="L66" s="91" t="s">
        <v>316</v>
      </c>
      <c r="M66" s="91" t="s">
        <v>318</v>
      </c>
      <c r="N66" s="91" t="s">
        <v>317</v>
      </c>
      <c r="O66" s="91">
        <f t="shared" si="1"/>
        <v>1</v>
      </c>
      <c r="P66" s="91">
        <f t="shared" si="2"/>
        <v>0</v>
      </c>
      <c r="Q66" s="95"/>
      <c r="R66" s="96"/>
      <c r="S66" s="96"/>
      <c r="T66" s="96"/>
      <c r="U66" s="96"/>
      <c r="V66" s="96"/>
      <c r="W66" s="96"/>
      <c r="X66" s="96"/>
      <c r="Y66" s="96"/>
      <c r="Z66" s="96"/>
    </row>
    <row r="67" ht="12.75" customHeight="1">
      <c r="A67" s="91">
        <v>65.0</v>
      </c>
      <c r="B67" s="92" t="s">
        <v>386</v>
      </c>
      <c r="C67" s="91">
        <v>30311.0</v>
      </c>
      <c r="D67" s="91" t="s">
        <v>316</v>
      </c>
      <c r="E67" s="91" t="s">
        <v>316</v>
      </c>
      <c r="F67" s="91" t="s">
        <v>316</v>
      </c>
      <c r="G67" s="91" t="s">
        <v>316</v>
      </c>
      <c r="H67" s="91" t="s">
        <v>317</v>
      </c>
      <c r="I67" s="91" t="s">
        <v>316</v>
      </c>
      <c r="J67" s="91" t="s">
        <v>316</v>
      </c>
      <c r="K67" s="91" t="s">
        <v>316</v>
      </c>
      <c r="L67" s="91" t="s">
        <v>316</v>
      </c>
      <c r="M67" s="91" t="s">
        <v>316</v>
      </c>
      <c r="N67" s="91" t="s">
        <v>316</v>
      </c>
      <c r="O67" s="91">
        <f t="shared" si="1"/>
        <v>0</v>
      </c>
      <c r="P67" s="91">
        <f t="shared" si="2"/>
        <v>0</v>
      </c>
      <c r="Q67" s="95"/>
      <c r="R67" s="96"/>
      <c r="S67" s="96"/>
      <c r="T67" s="96"/>
      <c r="U67" s="96"/>
      <c r="V67" s="96"/>
      <c r="W67" s="96"/>
      <c r="X67" s="96"/>
      <c r="Y67" s="96"/>
      <c r="Z67" s="96"/>
    </row>
    <row r="68" ht="12.75" customHeight="1">
      <c r="A68" s="91">
        <v>66.0</v>
      </c>
      <c r="B68" s="92" t="s">
        <v>387</v>
      </c>
      <c r="C68" s="91">
        <v>33823.0</v>
      </c>
      <c r="D68" s="91" t="s">
        <v>318</v>
      </c>
      <c r="E68" s="91" t="s">
        <v>318</v>
      </c>
      <c r="F68" s="91" t="s">
        <v>321</v>
      </c>
      <c r="G68" s="91" t="s">
        <v>318</v>
      </c>
      <c r="H68" s="91" t="s">
        <v>318</v>
      </c>
      <c r="I68" s="91" t="s">
        <v>318</v>
      </c>
      <c r="J68" s="91" t="s">
        <v>318</v>
      </c>
      <c r="K68" s="91" t="s">
        <v>317</v>
      </c>
      <c r="L68" s="91" t="s">
        <v>318</v>
      </c>
      <c r="M68" s="91" t="s">
        <v>349</v>
      </c>
      <c r="N68" s="91" t="s">
        <v>317</v>
      </c>
      <c r="O68" s="91">
        <f t="shared" si="1"/>
        <v>8</v>
      </c>
      <c r="P68" s="91">
        <f t="shared" si="2"/>
        <v>0</v>
      </c>
      <c r="Q68" s="95"/>
      <c r="R68" s="96"/>
      <c r="S68" s="96"/>
      <c r="T68" s="96"/>
      <c r="U68" s="96"/>
      <c r="V68" s="96"/>
      <c r="W68" s="96"/>
      <c r="X68" s="96"/>
      <c r="Y68" s="96"/>
      <c r="Z68" s="96"/>
    </row>
    <row r="69" ht="12.75" customHeight="1">
      <c r="A69" s="91">
        <v>67.0</v>
      </c>
      <c r="B69" s="92" t="s">
        <v>388</v>
      </c>
      <c r="C69" s="91">
        <v>30297.0</v>
      </c>
      <c r="D69" s="91" t="s">
        <v>318</v>
      </c>
      <c r="E69" s="91" t="s">
        <v>318</v>
      </c>
      <c r="F69" s="91" t="s">
        <v>318</v>
      </c>
      <c r="G69" s="91" t="s">
        <v>318</v>
      </c>
      <c r="H69" s="91" t="s">
        <v>317</v>
      </c>
      <c r="I69" s="91" t="s">
        <v>318</v>
      </c>
      <c r="J69" s="91" t="s">
        <v>318</v>
      </c>
      <c r="K69" s="91" t="s">
        <v>317</v>
      </c>
      <c r="L69" s="91" t="s">
        <v>318</v>
      </c>
      <c r="M69" s="91" t="s">
        <v>318</v>
      </c>
      <c r="N69" s="91" t="s">
        <v>318</v>
      </c>
      <c r="O69" s="91">
        <f t="shared" si="1"/>
        <v>9</v>
      </c>
      <c r="P69" s="91">
        <f t="shared" si="2"/>
        <v>0</v>
      </c>
      <c r="Q69" s="95"/>
      <c r="R69" s="96"/>
      <c r="S69" s="96"/>
      <c r="T69" s="96"/>
      <c r="U69" s="96"/>
      <c r="V69" s="96"/>
      <c r="W69" s="96"/>
      <c r="X69" s="96"/>
      <c r="Y69" s="96"/>
      <c r="Z69" s="96"/>
    </row>
    <row r="70" ht="12.75" customHeight="1">
      <c r="A70" s="91">
        <v>68.0</v>
      </c>
      <c r="B70" s="92" t="s">
        <v>389</v>
      </c>
      <c r="C70" s="91">
        <v>23626.0</v>
      </c>
      <c r="D70" s="91" t="s">
        <v>318</v>
      </c>
      <c r="E70" s="91" t="s">
        <v>321</v>
      </c>
      <c r="F70" s="91" t="s">
        <v>318</v>
      </c>
      <c r="G70" s="91" t="s">
        <v>318</v>
      </c>
      <c r="H70" s="91" t="s">
        <v>317</v>
      </c>
      <c r="I70" s="91" t="s">
        <v>318</v>
      </c>
      <c r="J70" s="91" t="s">
        <v>318</v>
      </c>
      <c r="K70" s="91" t="s">
        <v>318</v>
      </c>
      <c r="L70" s="91" t="s">
        <v>317</v>
      </c>
      <c r="M70" s="91" t="s">
        <v>318</v>
      </c>
      <c r="N70" s="91" t="s">
        <v>318</v>
      </c>
      <c r="O70" s="91">
        <f t="shared" si="1"/>
        <v>8</v>
      </c>
      <c r="P70" s="91">
        <f t="shared" si="2"/>
        <v>0</v>
      </c>
      <c r="Q70" s="95"/>
      <c r="R70" s="96"/>
      <c r="S70" s="96"/>
      <c r="T70" s="96"/>
      <c r="U70" s="96"/>
      <c r="V70" s="96"/>
      <c r="W70" s="96"/>
      <c r="X70" s="96"/>
      <c r="Y70" s="96"/>
      <c r="Z70" s="96"/>
    </row>
    <row r="71" ht="12.75" customHeight="1">
      <c r="A71" s="91">
        <v>69.0</v>
      </c>
      <c r="B71" s="92" t="s">
        <v>390</v>
      </c>
      <c r="C71" s="91">
        <v>23499.0</v>
      </c>
      <c r="D71" s="91" t="s">
        <v>318</v>
      </c>
      <c r="E71" s="91" t="s">
        <v>321</v>
      </c>
      <c r="F71" s="91" t="s">
        <v>321</v>
      </c>
      <c r="G71" s="91" t="s">
        <v>319</v>
      </c>
      <c r="H71" s="91" t="s">
        <v>318</v>
      </c>
      <c r="I71" s="91" t="s">
        <v>318</v>
      </c>
      <c r="J71" s="91" t="s">
        <v>318</v>
      </c>
      <c r="K71" s="91" t="s">
        <v>317</v>
      </c>
      <c r="L71" s="91" t="s">
        <v>319</v>
      </c>
      <c r="M71" s="91" t="s">
        <v>317</v>
      </c>
      <c r="N71" s="91" t="s">
        <v>318</v>
      </c>
      <c r="O71" s="91">
        <f t="shared" si="1"/>
        <v>5</v>
      </c>
      <c r="P71" s="91">
        <f t="shared" si="2"/>
        <v>2</v>
      </c>
      <c r="Q71" s="95"/>
      <c r="R71" s="96"/>
      <c r="S71" s="96"/>
      <c r="T71" s="96"/>
      <c r="U71" s="96"/>
      <c r="V71" s="96"/>
      <c r="W71" s="96"/>
      <c r="X71" s="96"/>
      <c r="Y71" s="96"/>
      <c r="Z71" s="96"/>
    </row>
    <row r="72" ht="12.75" customHeight="1">
      <c r="A72" s="91">
        <v>70.0</v>
      </c>
      <c r="B72" s="92" t="s">
        <v>391</v>
      </c>
      <c r="C72" s="91">
        <v>25056.0</v>
      </c>
      <c r="D72" s="91" t="s">
        <v>318</v>
      </c>
      <c r="E72" s="91" t="s">
        <v>318</v>
      </c>
      <c r="F72" s="91" t="s">
        <v>318</v>
      </c>
      <c r="G72" s="91" t="s">
        <v>317</v>
      </c>
      <c r="H72" s="91" t="s">
        <v>319</v>
      </c>
      <c r="I72" s="91" t="s">
        <v>318</v>
      </c>
      <c r="J72" s="91" t="s">
        <v>318</v>
      </c>
      <c r="K72" s="91" t="s">
        <v>318</v>
      </c>
      <c r="L72" s="91" t="s">
        <v>317</v>
      </c>
      <c r="M72" s="91" t="s">
        <v>318</v>
      </c>
      <c r="N72" s="91" t="s">
        <v>317</v>
      </c>
      <c r="O72" s="91">
        <f t="shared" si="1"/>
        <v>7</v>
      </c>
      <c r="P72" s="91">
        <f t="shared" si="2"/>
        <v>1</v>
      </c>
      <c r="Q72" s="95"/>
      <c r="R72" s="96"/>
      <c r="S72" s="96"/>
      <c r="T72" s="96"/>
      <c r="U72" s="96"/>
      <c r="V72" s="96"/>
      <c r="W72" s="96"/>
      <c r="X72" s="96"/>
      <c r="Y72" s="96"/>
      <c r="Z72" s="96"/>
    </row>
    <row r="73" ht="12.75" customHeight="1">
      <c r="A73" s="91">
        <v>71.0</v>
      </c>
      <c r="B73" s="92" t="s">
        <v>392</v>
      </c>
      <c r="C73" s="91">
        <v>30308.0</v>
      </c>
      <c r="D73" s="91" t="s">
        <v>319</v>
      </c>
      <c r="E73" s="91" t="s">
        <v>321</v>
      </c>
      <c r="F73" s="91" t="s">
        <v>318</v>
      </c>
      <c r="G73" s="91" t="s">
        <v>317</v>
      </c>
      <c r="H73" s="91" t="s">
        <v>319</v>
      </c>
      <c r="I73" s="91" t="s">
        <v>319</v>
      </c>
      <c r="J73" s="91" t="s">
        <v>319</v>
      </c>
      <c r="K73" s="91" t="s">
        <v>319</v>
      </c>
      <c r="L73" s="91" t="s">
        <v>317</v>
      </c>
      <c r="M73" s="91" t="s">
        <v>319</v>
      </c>
      <c r="N73" s="91" t="s">
        <v>318</v>
      </c>
      <c r="O73" s="91">
        <f t="shared" si="1"/>
        <v>2</v>
      </c>
      <c r="P73" s="91">
        <f t="shared" si="2"/>
        <v>6</v>
      </c>
      <c r="Q73" s="95"/>
      <c r="R73" s="96"/>
      <c r="S73" s="96"/>
      <c r="T73" s="96"/>
      <c r="U73" s="96"/>
      <c r="V73" s="96"/>
      <c r="W73" s="96"/>
      <c r="X73" s="96"/>
      <c r="Y73" s="96"/>
      <c r="Z73" s="96"/>
    </row>
    <row r="74" ht="12.75" customHeight="1">
      <c r="A74" s="91">
        <v>72.0</v>
      </c>
      <c r="B74" s="92" t="s">
        <v>393</v>
      </c>
      <c r="C74" s="91">
        <v>23610.0</v>
      </c>
      <c r="D74" s="91" t="s">
        <v>321</v>
      </c>
      <c r="E74" s="91" t="s">
        <v>318</v>
      </c>
      <c r="F74" s="91" t="s">
        <v>318</v>
      </c>
      <c r="G74" s="91" t="s">
        <v>318</v>
      </c>
      <c r="H74" s="91" t="s">
        <v>317</v>
      </c>
      <c r="I74" s="91" t="s">
        <v>318</v>
      </c>
      <c r="J74" s="91" t="s">
        <v>317</v>
      </c>
      <c r="K74" s="91" t="s">
        <v>318</v>
      </c>
      <c r="L74" s="91" t="s">
        <v>318</v>
      </c>
      <c r="M74" s="91" t="s">
        <v>318</v>
      </c>
      <c r="N74" s="91" t="s">
        <v>318</v>
      </c>
      <c r="O74" s="91">
        <f t="shared" si="1"/>
        <v>8</v>
      </c>
      <c r="P74" s="91">
        <f t="shared" si="2"/>
        <v>0</v>
      </c>
      <c r="Q74" s="97"/>
      <c r="R74" s="97"/>
      <c r="S74" s="97"/>
      <c r="T74" s="97"/>
      <c r="U74" s="97"/>
      <c r="V74" s="97"/>
      <c r="W74" s="97"/>
      <c r="X74" s="97"/>
      <c r="Y74" s="97"/>
      <c r="Z74" s="97"/>
    </row>
    <row r="75" ht="12.75" customHeight="1">
      <c r="A75" s="91">
        <v>73.0</v>
      </c>
      <c r="B75" s="92" t="s">
        <v>394</v>
      </c>
      <c r="C75" s="91">
        <v>23527.0</v>
      </c>
      <c r="D75" s="91" t="s">
        <v>318</v>
      </c>
      <c r="E75" s="91" t="s">
        <v>318</v>
      </c>
      <c r="F75" s="91" t="s">
        <v>318</v>
      </c>
      <c r="G75" s="91" t="s">
        <v>317</v>
      </c>
      <c r="H75" s="91" t="s">
        <v>318</v>
      </c>
      <c r="I75" s="91" t="s">
        <v>317</v>
      </c>
      <c r="J75" s="91" t="s">
        <v>318</v>
      </c>
      <c r="K75" s="91" t="s">
        <v>318</v>
      </c>
      <c r="L75" s="91" t="s">
        <v>318</v>
      </c>
      <c r="M75" s="91" t="s">
        <v>318</v>
      </c>
      <c r="N75" s="91" t="s">
        <v>317</v>
      </c>
      <c r="O75" s="91">
        <f t="shared" si="1"/>
        <v>8</v>
      </c>
      <c r="P75" s="91">
        <f t="shared" si="2"/>
        <v>0</v>
      </c>
      <c r="Q75" s="97"/>
      <c r="R75" s="97"/>
      <c r="S75" s="97"/>
      <c r="T75" s="97"/>
      <c r="U75" s="97"/>
      <c r="V75" s="97"/>
      <c r="W75" s="97"/>
      <c r="X75" s="97"/>
      <c r="Y75" s="97"/>
      <c r="Z75" s="97"/>
    </row>
    <row r="76" ht="12.75" customHeight="1">
      <c r="A76" s="91">
        <v>74.0</v>
      </c>
      <c r="B76" s="92" t="s">
        <v>395</v>
      </c>
      <c r="C76" s="91">
        <v>24960.0</v>
      </c>
      <c r="D76" s="91" t="s">
        <v>321</v>
      </c>
      <c r="E76" s="91" t="s">
        <v>318</v>
      </c>
      <c r="F76" s="91" t="s">
        <v>318</v>
      </c>
      <c r="G76" s="91" t="s">
        <v>317</v>
      </c>
      <c r="H76" s="91" t="s">
        <v>318</v>
      </c>
      <c r="I76" s="91" t="s">
        <v>318</v>
      </c>
      <c r="J76" s="91" t="s">
        <v>318</v>
      </c>
      <c r="K76" s="91" t="s">
        <v>317</v>
      </c>
      <c r="L76" s="91" t="s">
        <v>318</v>
      </c>
      <c r="M76" s="91" t="s">
        <v>317</v>
      </c>
      <c r="N76" s="91" t="s">
        <v>318</v>
      </c>
      <c r="O76" s="91">
        <f t="shared" si="1"/>
        <v>7</v>
      </c>
      <c r="P76" s="91">
        <f t="shared" si="2"/>
        <v>0</v>
      </c>
      <c r="Q76" s="95"/>
      <c r="R76" s="96"/>
      <c r="S76" s="96"/>
      <c r="T76" s="96"/>
      <c r="U76" s="96"/>
      <c r="V76" s="96"/>
      <c r="W76" s="96"/>
      <c r="X76" s="96"/>
      <c r="Y76" s="96"/>
      <c r="Z76" s="96"/>
    </row>
    <row r="77" ht="12.75" customHeight="1">
      <c r="A77" s="91">
        <v>75.0</v>
      </c>
      <c r="B77" s="92" t="s">
        <v>396</v>
      </c>
      <c r="C77" s="91">
        <v>25061.0</v>
      </c>
      <c r="D77" s="91" t="s">
        <v>318</v>
      </c>
      <c r="E77" s="91" t="s">
        <v>318</v>
      </c>
      <c r="F77" s="91" t="s">
        <v>318</v>
      </c>
      <c r="G77" s="91" t="s">
        <v>317</v>
      </c>
      <c r="H77" s="91" t="s">
        <v>319</v>
      </c>
      <c r="I77" s="91" t="s">
        <v>317</v>
      </c>
      <c r="J77" s="91" t="s">
        <v>318</v>
      </c>
      <c r="K77" s="91" t="s">
        <v>319</v>
      </c>
      <c r="L77" s="91" t="s">
        <v>319</v>
      </c>
      <c r="M77" s="91" t="s">
        <v>319</v>
      </c>
      <c r="N77" s="91" t="s">
        <v>319</v>
      </c>
      <c r="O77" s="91">
        <f t="shared" si="1"/>
        <v>4</v>
      </c>
      <c r="P77" s="91">
        <f t="shared" si="2"/>
        <v>5</v>
      </c>
      <c r="Q77" s="95"/>
      <c r="R77" s="96"/>
      <c r="S77" s="96"/>
      <c r="T77" s="96"/>
      <c r="U77" s="96"/>
      <c r="V77" s="96"/>
      <c r="W77" s="96"/>
      <c r="X77" s="96"/>
      <c r="Y77" s="96"/>
      <c r="Z77" s="96"/>
    </row>
    <row r="78" ht="12.75" customHeight="1">
      <c r="A78" s="91">
        <v>76.0</v>
      </c>
      <c r="B78" s="92" t="s">
        <v>397</v>
      </c>
      <c r="C78" s="91">
        <v>23421.0</v>
      </c>
      <c r="D78" s="91" t="s">
        <v>321</v>
      </c>
      <c r="E78" s="91" t="s">
        <v>318</v>
      </c>
      <c r="F78" s="91" t="s">
        <v>321</v>
      </c>
      <c r="G78" s="91" t="s">
        <v>318</v>
      </c>
      <c r="H78" s="91" t="s">
        <v>318</v>
      </c>
      <c r="I78" s="91" t="s">
        <v>318</v>
      </c>
      <c r="J78" s="91" t="s">
        <v>317</v>
      </c>
      <c r="K78" s="91" t="s">
        <v>318</v>
      </c>
      <c r="L78" s="91" t="s">
        <v>318</v>
      </c>
      <c r="M78" s="91" t="s">
        <v>317</v>
      </c>
      <c r="N78" s="91" t="s">
        <v>318</v>
      </c>
      <c r="O78" s="91">
        <f t="shared" si="1"/>
        <v>7</v>
      </c>
      <c r="P78" s="91">
        <f t="shared" si="2"/>
        <v>0</v>
      </c>
      <c r="Q78" s="95"/>
      <c r="R78" s="96"/>
      <c r="S78" s="96"/>
      <c r="T78" s="96"/>
      <c r="U78" s="96"/>
      <c r="V78" s="96"/>
      <c r="W78" s="96"/>
      <c r="X78" s="96"/>
      <c r="Y78" s="96"/>
      <c r="Z78" s="96"/>
    </row>
    <row r="79" ht="12.75" customHeight="1">
      <c r="A79" s="91">
        <v>77.0</v>
      </c>
      <c r="B79" s="92" t="s">
        <v>398</v>
      </c>
      <c r="C79" s="91">
        <v>25005.0</v>
      </c>
      <c r="D79" s="91" t="s">
        <v>321</v>
      </c>
      <c r="E79" s="91" t="s">
        <v>321</v>
      </c>
      <c r="F79" s="91" t="s">
        <v>318</v>
      </c>
      <c r="G79" s="91" t="s">
        <v>318</v>
      </c>
      <c r="H79" s="91" t="s">
        <v>318</v>
      </c>
      <c r="I79" s="91" t="s">
        <v>318</v>
      </c>
      <c r="J79" s="91" t="s">
        <v>318</v>
      </c>
      <c r="K79" s="91" t="s">
        <v>317</v>
      </c>
      <c r="L79" s="91" t="s">
        <v>317</v>
      </c>
      <c r="M79" s="91" t="s">
        <v>318</v>
      </c>
      <c r="N79" s="91" t="s">
        <v>318</v>
      </c>
      <c r="O79" s="91">
        <f t="shared" si="1"/>
        <v>7</v>
      </c>
      <c r="P79" s="91">
        <f t="shared" si="2"/>
        <v>0</v>
      </c>
      <c r="Q79" s="95"/>
      <c r="R79" s="96"/>
      <c r="S79" s="96"/>
      <c r="T79" s="96"/>
      <c r="U79" s="96"/>
      <c r="V79" s="96"/>
      <c r="W79" s="96"/>
      <c r="X79" s="96"/>
      <c r="Y79" s="96"/>
      <c r="Z79" s="96"/>
    </row>
    <row r="80" ht="12.75" customHeight="1">
      <c r="A80" s="91">
        <v>78.0</v>
      </c>
      <c r="B80" s="98" t="s">
        <v>399</v>
      </c>
      <c r="C80" s="91">
        <v>25018.0</v>
      </c>
      <c r="D80" s="91" t="s">
        <v>321</v>
      </c>
      <c r="E80" s="91" t="s">
        <v>318</v>
      </c>
      <c r="F80" s="91" t="s">
        <v>318</v>
      </c>
      <c r="G80" s="91" t="s">
        <v>318</v>
      </c>
      <c r="H80" s="91" t="s">
        <v>317</v>
      </c>
      <c r="I80" s="91" t="s">
        <v>318</v>
      </c>
      <c r="J80" s="91" t="s">
        <v>318</v>
      </c>
      <c r="K80" s="91" t="s">
        <v>317</v>
      </c>
      <c r="L80" s="91" t="s">
        <v>318</v>
      </c>
      <c r="M80" s="91" t="s">
        <v>318</v>
      </c>
      <c r="N80" s="91" t="s">
        <v>318</v>
      </c>
      <c r="O80" s="91">
        <f t="shared" si="1"/>
        <v>8</v>
      </c>
      <c r="P80" s="91">
        <f t="shared" si="2"/>
        <v>0</v>
      </c>
      <c r="Q80" s="95"/>
      <c r="R80" s="96"/>
      <c r="S80" s="96"/>
      <c r="T80" s="96"/>
      <c r="U80" s="96"/>
      <c r="V80" s="96"/>
      <c r="W80" s="96"/>
      <c r="X80" s="96"/>
      <c r="Y80" s="96"/>
      <c r="Z80" s="96"/>
    </row>
    <row r="81" ht="12.75" customHeight="1">
      <c r="A81" s="91">
        <v>79.0</v>
      </c>
      <c r="B81" s="92" t="s">
        <v>400</v>
      </c>
      <c r="C81" s="91">
        <v>30379.0</v>
      </c>
      <c r="D81" s="91" t="s">
        <v>321</v>
      </c>
      <c r="E81" s="91" t="s">
        <v>319</v>
      </c>
      <c r="F81" s="91" t="s">
        <v>318</v>
      </c>
      <c r="G81" s="91" t="s">
        <v>318</v>
      </c>
      <c r="H81" s="91" t="s">
        <v>318</v>
      </c>
      <c r="I81" s="91" t="s">
        <v>318</v>
      </c>
      <c r="J81" s="91" t="s">
        <v>317</v>
      </c>
      <c r="K81" s="91" t="s">
        <v>317</v>
      </c>
      <c r="L81" s="91" t="s">
        <v>318</v>
      </c>
      <c r="M81" s="91" t="s">
        <v>317</v>
      </c>
      <c r="N81" s="91" t="s">
        <v>318</v>
      </c>
      <c r="O81" s="91">
        <f t="shared" si="1"/>
        <v>6</v>
      </c>
      <c r="P81" s="91">
        <f t="shared" si="2"/>
        <v>1</v>
      </c>
      <c r="Q81" s="95"/>
      <c r="R81" s="96"/>
      <c r="S81" s="96"/>
      <c r="T81" s="96"/>
      <c r="U81" s="96"/>
      <c r="V81" s="96"/>
      <c r="W81" s="96"/>
      <c r="X81" s="96"/>
      <c r="Y81" s="96"/>
      <c r="Z81" s="96"/>
    </row>
    <row r="82" ht="12.75" customHeight="1">
      <c r="A82" s="91">
        <v>80.0</v>
      </c>
      <c r="B82" s="98" t="s">
        <v>401</v>
      </c>
      <c r="C82" s="91">
        <v>33836.0</v>
      </c>
      <c r="D82" s="91" t="s">
        <v>321</v>
      </c>
      <c r="E82" s="91" t="s">
        <v>318</v>
      </c>
      <c r="F82" s="91" t="s">
        <v>321</v>
      </c>
      <c r="G82" s="91" t="s">
        <v>318</v>
      </c>
      <c r="H82" s="91" t="s">
        <v>318</v>
      </c>
      <c r="I82" s="91" t="s">
        <v>318</v>
      </c>
      <c r="J82" s="91" t="s">
        <v>318</v>
      </c>
      <c r="K82" s="91" t="s">
        <v>317</v>
      </c>
      <c r="L82" s="91" t="s">
        <v>318</v>
      </c>
      <c r="M82" s="91" t="s">
        <v>318</v>
      </c>
      <c r="N82" s="91" t="s">
        <v>318</v>
      </c>
      <c r="O82" s="91">
        <f t="shared" si="1"/>
        <v>8</v>
      </c>
      <c r="P82" s="91">
        <f t="shared" si="2"/>
        <v>0</v>
      </c>
      <c r="Q82" s="95"/>
      <c r="R82" s="96"/>
      <c r="S82" s="96"/>
      <c r="T82" s="96"/>
      <c r="U82" s="96"/>
      <c r="V82" s="96"/>
      <c r="W82" s="96"/>
      <c r="X82" s="96"/>
      <c r="Y82" s="96"/>
      <c r="Z82" s="96"/>
    </row>
    <row r="83" ht="12.75" customHeight="1">
      <c r="A83" s="91">
        <v>81.0</v>
      </c>
      <c r="B83" s="98" t="s">
        <v>402</v>
      </c>
      <c r="C83" s="91">
        <v>33843.0</v>
      </c>
      <c r="D83" s="91" t="s">
        <v>321</v>
      </c>
      <c r="E83" s="91" t="s">
        <v>318</v>
      </c>
      <c r="F83" s="91" t="s">
        <v>321</v>
      </c>
      <c r="G83" s="91" t="s">
        <v>318</v>
      </c>
      <c r="H83" s="91" t="s">
        <v>318</v>
      </c>
      <c r="I83" s="91" t="s">
        <v>318</v>
      </c>
      <c r="J83" s="91" t="s">
        <v>318</v>
      </c>
      <c r="K83" s="91" t="s">
        <v>318</v>
      </c>
      <c r="L83" s="91" t="s">
        <v>317</v>
      </c>
      <c r="M83" s="91" t="s">
        <v>318</v>
      </c>
      <c r="N83" s="91" t="s">
        <v>317</v>
      </c>
      <c r="O83" s="91">
        <f t="shared" si="1"/>
        <v>7</v>
      </c>
      <c r="P83" s="91">
        <f t="shared" si="2"/>
        <v>0</v>
      </c>
      <c r="Q83" s="95"/>
      <c r="R83" s="96"/>
      <c r="S83" s="96"/>
      <c r="T83" s="96"/>
      <c r="U83" s="96"/>
      <c r="V83" s="96"/>
      <c r="W83" s="96"/>
      <c r="X83" s="96"/>
      <c r="Y83" s="96"/>
      <c r="Z83" s="96"/>
    </row>
    <row r="84" ht="12.75" customHeight="1">
      <c r="A84" s="91">
        <v>82.0</v>
      </c>
      <c r="B84" s="92" t="s">
        <v>403</v>
      </c>
      <c r="C84" s="91">
        <v>23613.0</v>
      </c>
      <c r="D84" s="91" t="s">
        <v>321</v>
      </c>
      <c r="E84" s="91" t="s">
        <v>318</v>
      </c>
      <c r="F84" s="91" t="s">
        <v>321</v>
      </c>
      <c r="G84" s="91" t="s">
        <v>318</v>
      </c>
      <c r="H84" s="91" t="s">
        <v>318</v>
      </c>
      <c r="I84" s="91" t="s">
        <v>317</v>
      </c>
      <c r="J84" s="91" t="s">
        <v>318</v>
      </c>
      <c r="K84" s="91" t="s">
        <v>318</v>
      </c>
      <c r="L84" s="91" t="s">
        <v>318</v>
      </c>
      <c r="M84" s="91" t="s">
        <v>318</v>
      </c>
      <c r="N84" s="91" t="s">
        <v>317</v>
      </c>
      <c r="O84" s="91">
        <f t="shared" si="1"/>
        <v>7</v>
      </c>
      <c r="P84" s="91">
        <f t="shared" si="2"/>
        <v>0</v>
      </c>
      <c r="Q84" s="95"/>
      <c r="R84" s="96"/>
      <c r="S84" s="96"/>
      <c r="T84" s="96"/>
      <c r="U84" s="96"/>
      <c r="V84" s="96"/>
      <c r="W84" s="96"/>
      <c r="X84" s="96"/>
      <c r="Y84" s="96"/>
      <c r="Z84" s="96"/>
    </row>
    <row r="85" ht="12.75" customHeight="1">
      <c r="A85" s="91">
        <v>83.0</v>
      </c>
      <c r="B85" s="92" t="s">
        <v>404</v>
      </c>
      <c r="C85" s="91">
        <v>25087.0</v>
      </c>
      <c r="D85" s="91" t="s">
        <v>321</v>
      </c>
      <c r="E85" s="91" t="s">
        <v>318</v>
      </c>
      <c r="F85" s="91" t="s">
        <v>318</v>
      </c>
      <c r="G85" s="91" t="s">
        <v>317</v>
      </c>
      <c r="H85" s="91" t="s">
        <v>318</v>
      </c>
      <c r="I85" s="91" t="s">
        <v>318</v>
      </c>
      <c r="J85" s="91" t="s">
        <v>318</v>
      </c>
      <c r="K85" s="91" t="s">
        <v>317</v>
      </c>
      <c r="L85" s="91" t="s">
        <v>318</v>
      </c>
      <c r="M85" s="91" t="s">
        <v>318</v>
      </c>
      <c r="N85" s="91" t="s">
        <v>317</v>
      </c>
      <c r="O85" s="91">
        <f t="shared" si="1"/>
        <v>7</v>
      </c>
      <c r="P85" s="91">
        <f t="shared" si="2"/>
        <v>0</v>
      </c>
      <c r="Q85" s="95"/>
      <c r="R85" s="96"/>
      <c r="S85" s="96"/>
      <c r="T85" s="96"/>
      <c r="U85" s="96"/>
      <c r="V85" s="96"/>
      <c r="W85" s="96"/>
      <c r="X85" s="96"/>
      <c r="Y85" s="96"/>
      <c r="Z85" s="96"/>
    </row>
    <row r="86" ht="12.75" customHeight="1">
      <c r="A86" s="91">
        <v>84.0</v>
      </c>
      <c r="B86" s="92" t="s">
        <v>405</v>
      </c>
      <c r="C86" s="91">
        <v>25079.0</v>
      </c>
      <c r="D86" s="91" t="s">
        <v>321</v>
      </c>
      <c r="E86" s="91" t="s">
        <v>318</v>
      </c>
      <c r="F86" s="91" t="s">
        <v>321</v>
      </c>
      <c r="G86" s="91" t="s">
        <v>318</v>
      </c>
      <c r="H86" s="91" t="s">
        <v>318</v>
      </c>
      <c r="I86" s="91" t="s">
        <v>318</v>
      </c>
      <c r="J86" s="91" t="s">
        <v>318</v>
      </c>
      <c r="K86" s="91" t="s">
        <v>317</v>
      </c>
      <c r="L86" s="91" t="s">
        <v>318</v>
      </c>
      <c r="M86" s="91" t="s">
        <v>317</v>
      </c>
      <c r="N86" s="91" t="s">
        <v>318</v>
      </c>
      <c r="O86" s="91">
        <f t="shared" si="1"/>
        <v>7</v>
      </c>
      <c r="P86" s="91">
        <f t="shared" si="2"/>
        <v>0</v>
      </c>
      <c r="Q86" s="95"/>
      <c r="R86" s="96"/>
      <c r="S86" s="96"/>
      <c r="T86" s="96"/>
      <c r="U86" s="96"/>
      <c r="V86" s="96"/>
      <c r="W86" s="96"/>
      <c r="X86" s="96"/>
      <c r="Y86" s="96"/>
      <c r="Z86" s="96"/>
    </row>
    <row r="87" ht="12.75" customHeight="1">
      <c r="A87" s="91">
        <v>85.0</v>
      </c>
      <c r="B87" s="92" t="s">
        <v>406</v>
      </c>
      <c r="C87" s="91">
        <v>30283.0</v>
      </c>
      <c r="D87" s="91" t="s">
        <v>321</v>
      </c>
      <c r="E87" s="91" t="s">
        <v>318</v>
      </c>
      <c r="F87" s="91" t="s">
        <v>318</v>
      </c>
      <c r="G87" s="91" t="s">
        <v>319</v>
      </c>
      <c r="H87" s="91" t="s">
        <v>317</v>
      </c>
      <c r="I87" s="91" t="s">
        <v>319</v>
      </c>
      <c r="J87" s="91" t="s">
        <v>318</v>
      </c>
      <c r="K87" s="91" t="s">
        <v>317</v>
      </c>
      <c r="L87" s="91" t="s">
        <v>318</v>
      </c>
      <c r="M87" s="91" t="s">
        <v>319</v>
      </c>
      <c r="N87" s="91" t="s">
        <v>317</v>
      </c>
      <c r="O87" s="91">
        <f t="shared" si="1"/>
        <v>4</v>
      </c>
      <c r="P87" s="91">
        <f t="shared" si="2"/>
        <v>3</v>
      </c>
      <c r="Q87" s="95"/>
      <c r="R87" s="96"/>
      <c r="S87" s="96"/>
      <c r="T87" s="96"/>
      <c r="U87" s="96"/>
      <c r="V87" s="96"/>
      <c r="W87" s="96"/>
      <c r="X87" s="96"/>
      <c r="Y87" s="96"/>
      <c r="Z87" s="96"/>
    </row>
    <row r="88" ht="12.75" customHeight="1">
      <c r="A88" s="91">
        <v>86.0</v>
      </c>
      <c r="B88" s="92" t="s">
        <v>407</v>
      </c>
      <c r="C88" s="91">
        <v>23503.0</v>
      </c>
      <c r="D88" s="91" t="s">
        <v>321</v>
      </c>
      <c r="E88" s="91" t="s">
        <v>318</v>
      </c>
      <c r="F88" s="91" t="s">
        <v>318</v>
      </c>
      <c r="G88" s="91" t="s">
        <v>318</v>
      </c>
      <c r="H88" s="91" t="s">
        <v>318</v>
      </c>
      <c r="I88" s="91" t="s">
        <v>317</v>
      </c>
      <c r="J88" s="91" t="s">
        <v>318</v>
      </c>
      <c r="K88" s="91" t="s">
        <v>317</v>
      </c>
      <c r="L88" s="91" t="s">
        <v>318</v>
      </c>
      <c r="M88" s="91" t="s">
        <v>318</v>
      </c>
      <c r="N88" s="91" t="s">
        <v>318</v>
      </c>
      <c r="O88" s="91">
        <f t="shared" si="1"/>
        <v>8</v>
      </c>
      <c r="P88" s="91">
        <f t="shared" si="2"/>
        <v>0</v>
      </c>
      <c r="Q88" s="95"/>
      <c r="R88" s="96"/>
      <c r="S88" s="96"/>
      <c r="T88" s="96"/>
      <c r="U88" s="96"/>
      <c r="V88" s="96"/>
      <c r="W88" s="96"/>
      <c r="X88" s="96"/>
      <c r="Y88" s="96"/>
      <c r="Z88" s="96"/>
    </row>
    <row r="89" ht="12.75" customHeight="1">
      <c r="A89" s="91">
        <v>87.0</v>
      </c>
      <c r="B89" s="92" t="s">
        <v>408</v>
      </c>
      <c r="C89" s="91">
        <v>25053.0</v>
      </c>
      <c r="D89" s="91" t="s">
        <v>321</v>
      </c>
      <c r="E89" s="91" t="s">
        <v>318</v>
      </c>
      <c r="F89" s="91" t="s">
        <v>321</v>
      </c>
      <c r="G89" s="91" t="s">
        <v>317</v>
      </c>
      <c r="H89" s="91" t="s">
        <v>318</v>
      </c>
      <c r="I89" s="91" t="s">
        <v>336</v>
      </c>
      <c r="J89" s="91" t="s">
        <v>336</v>
      </c>
      <c r="K89" s="91" t="s">
        <v>318</v>
      </c>
      <c r="L89" s="91" t="s">
        <v>318</v>
      </c>
      <c r="M89" s="91" t="s">
        <v>318</v>
      </c>
      <c r="N89" s="91" t="s">
        <v>317</v>
      </c>
      <c r="O89" s="91">
        <f t="shared" si="1"/>
        <v>5</v>
      </c>
      <c r="P89" s="91">
        <f t="shared" si="2"/>
        <v>0</v>
      </c>
      <c r="Q89" s="95"/>
      <c r="R89" s="96"/>
      <c r="S89" s="96"/>
      <c r="T89" s="96"/>
      <c r="U89" s="96"/>
      <c r="V89" s="96"/>
      <c r="W89" s="96"/>
      <c r="X89" s="96"/>
      <c r="Y89" s="96"/>
      <c r="Z89" s="96"/>
    </row>
    <row r="90" ht="15.0" customHeight="1">
      <c r="B90" s="99" t="s">
        <v>409</v>
      </c>
      <c r="C90" s="100"/>
      <c r="D90" s="100">
        <f t="shared" ref="D90:N90" si="3">COUNTIF(D3:D89,"P")</f>
        <v>50</v>
      </c>
      <c r="E90" s="100">
        <f t="shared" si="3"/>
        <v>58</v>
      </c>
      <c r="F90" s="100">
        <f t="shared" si="3"/>
        <v>49</v>
      </c>
      <c r="G90" s="100">
        <f t="shared" si="3"/>
        <v>54</v>
      </c>
      <c r="H90" s="100">
        <f t="shared" si="3"/>
        <v>50</v>
      </c>
      <c r="I90" s="100">
        <f t="shared" si="3"/>
        <v>51</v>
      </c>
      <c r="J90" s="100">
        <f t="shared" si="3"/>
        <v>60</v>
      </c>
      <c r="K90" s="100">
        <f t="shared" si="3"/>
        <v>47</v>
      </c>
      <c r="L90" s="100">
        <f t="shared" si="3"/>
        <v>57</v>
      </c>
      <c r="M90" s="100">
        <f t="shared" si="3"/>
        <v>59</v>
      </c>
      <c r="N90" s="100">
        <f t="shared" si="3"/>
        <v>52</v>
      </c>
      <c r="O90" s="101"/>
    </row>
    <row r="91" ht="12.75" customHeight="1">
      <c r="B91" s="99" t="s">
        <v>410</v>
      </c>
      <c r="C91" s="100"/>
      <c r="D91" s="100">
        <f t="shared" ref="D91:N91" si="4">COUNTIF(D3:D90,"AB")</f>
        <v>7</v>
      </c>
      <c r="E91" s="100">
        <f t="shared" si="4"/>
        <v>4</v>
      </c>
      <c r="F91" s="100">
        <f t="shared" si="4"/>
        <v>6</v>
      </c>
      <c r="G91" s="100">
        <f t="shared" si="4"/>
        <v>9</v>
      </c>
      <c r="H91" s="100">
        <f t="shared" si="4"/>
        <v>8</v>
      </c>
      <c r="I91" s="100">
        <f t="shared" si="4"/>
        <v>5</v>
      </c>
      <c r="J91" s="100">
        <f t="shared" si="4"/>
        <v>3</v>
      </c>
      <c r="K91" s="100">
        <f t="shared" si="4"/>
        <v>5</v>
      </c>
      <c r="L91" s="100">
        <f t="shared" si="4"/>
        <v>3</v>
      </c>
      <c r="M91" s="100">
        <f t="shared" si="4"/>
        <v>8</v>
      </c>
      <c r="N91" s="100">
        <f t="shared" si="4"/>
        <v>5</v>
      </c>
    </row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1:A2"/>
    <mergeCell ref="B1:B2"/>
  </mergeCells>
  <conditionalFormatting sqref="B3:C16 B17:B57 B59 B74:C74 B78 C17 C19:C25 C27:C36 C38 C40 C42:C43 C45:C52 C54:C68 C70:C73">
    <cfRule type="cellIs" dxfId="13" priority="1" stopIfTrue="1" operator="equal">
      <formula>"WO"</formula>
    </cfRule>
  </conditionalFormatting>
  <conditionalFormatting sqref="D3:Z89 O3:O90">
    <cfRule type="cellIs" dxfId="14" priority="2" stopIfTrue="1" operator="equal">
      <formula>#REF!</formula>
    </cfRule>
  </conditionalFormatting>
  <conditionalFormatting sqref="D3:Z89 O3:O90">
    <cfRule type="cellIs" dxfId="15" priority="3" stopIfTrue="1" operator="equal">
      <formula>#REF!</formula>
    </cfRule>
  </conditionalFormatting>
  <dataValidations>
    <dataValidation type="list" allowBlank="1" showErrorMessage="1" sqref="D3:N11 D12 F12:N12 D13:N16 D17 F17:N17 D18:N19 F20:G20 I20:N20 D21:N23 D24:I24 K24:N24 D25:N35 D36:I36 K36:M36 D37:N54 F55:K55 M55:N55 D56:F56 H56:J56 L56:N56 D57:N89">
      <formula1>#REF!</formula1>
    </dataValidation>
  </dataValidations>
  <printOptions/>
  <pageMargins bottom="1.0" footer="0.0" header="0.0" left="0.75" right="0.75" top="1.0"/>
  <pageSetup orientation="portrait"/>
  <headerFooter>
    <oddFooter>&amp;CSerco Internal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25"/>
    <col customWidth="1" min="2" max="2" width="22.25"/>
    <col customWidth="1" min="3" max="3" width="9.0"/>
    <col customWidth="1" min="4" max="4" width="8.13"/>
    <col customWidth="1" min="5" max="5" width="7.88"/>
    <col customWidth="1" min="6" max="6" width="8.88"/>
    <col customWidth="1" min="7" max="7" width="12.5"/>
    <col customWidth="1" min="8" max="8" width="11.88"/>
    <col customWidth="1" min="9" max="26" width="9.13"/>
  </cols>
  <sheetData>
    <row r="1" ht="12.75" customHeight="1">
      <c r="A1" s="84" t="s">
        <v>411</v>
      </c>
      <c r="B1" s="84" t="s">
        <v>293</v>
      </c>
      <c r="C1" s="85" t="s">
        <v>294</v>
      </c>
      <c r="D1" s="86" t="s">
        <v>296</v>
      </c>
      <c r="E1" s="86" t="s">
        <v>299</v>
      </c>
      <c r="F1" s="86" t="s">
        <v>304</v>
      </c>
      <c r="G1" s="86"/>
      <c r="H1" s="86"/>
    </row>
    <row r="2" ht="12.75" customHeight="1">
      <c r="A2" s="88"/>
      <c r="B2" s="88"/>
      <c r="C2" s="89"/>
      <c r="D2" s="90" t="s">
        <v>307</v>
      </c>
      <c r="E2" s="90" t="s">
        <v>310</v>
      </c>
      <c r="F2" s="90" t="s">
        <v>308</v>
      </c>
      <c r="G2" s="90" t="s">
        <v>313</v>
      </c>
      <c r="H2" s="90" t="s">
        <v>314</v>
      </c>
    </row>
    <row r="3" ht="12.75" customHeight="1">
      <c r="A3" s="91">
        <v>1.0</v>
      </c>
      <c r="B3" s="92" t="s">
        <v>315</v>
      </c>
      <c r="C3" s="91">
        <v>23648.0</v>
      </c>
    </row>
    <row r="4" ht="12.75" customHeight="1">
      <c r="A4" s="91">
        <v>2.0</v>
      </c>
      <c r="B4" s="92" t="s">
        <v>320</v>
      </c>
      <c r="C4" s="91">
        <v>23415.0</v>
      </c>
    </row>
    <row r="5" ht="12.75" customHeight="1">
      <c r="A5" s="91">
        <v>3.0</v>
      </c>
      <c r="B5" s="92" t="s">
        <v>322</v>
      </c>
      <c r="C5" s="91">
        <v>25069.0</v>
      </c>
    </row>
    <row r="6" ht="12.75" customHeight="1">
      <c r="A6" s="91">
        <v>4.0</v>
      </c>
      <c r="B6" s="92" t="s">
        <v>323</v>
      </c>
      <c r="C6" s="91">
        <v>23549.0</v>
      </c>
    </row>
    <row r="7" ht="12.75" customHeight="1">
      <c r="A7" s="91">
        <v>5.0</v>
      </c>
      <c r="B7" s="92" t="s">
        <v>324</v>
      </c>
      <c r="C7" s="91">
        <v>23521.0</v>
      </c>
    </row>
    <row r="8" ht="12.75" customHeight="1">
      <c r="A8" s="91">
        <v>6.0</v>
      </c>
      <c r="B8" s="92" t="s">
        <v>325</v>
      </c>
      <c r="C8" s="91">
        <v>23608.0</v>
      </c>
    </row>
    <row r="9" ht="12.75" customHeight="1">
      <c r="A9" s="91">
        <v>7.0</v>
      </c>
      <c r="B9" s="92" t="s">
        <v>326</v>
      </c>
      <c r="C9" s="91">
        <v>25034.0</v>
      </c>
    </row>
    <row r="10" ht="12.75" customHeight="1">
      <c r="A10" s="91">
        <v>8.0</v>
      </c>
      <c r="B10" s="92" t="s">
        <v>327</v>
      </c>
      <c r="C10" s="91">
        <v>23547.0</v>
      </c>
    </row>
    <row r="11" ht="12.75" customHeight="1">
      <c r="A11" s="91">
        <v>9.0</v>
      </c>
      <c r="B11" s="92" t="s">
        <v>328</v>
      </c>
      <c r="C11" s="91">
        <v>25075.0</v>
      </c>
    </row>
    <row r="12" ht="12.75" customHeight="1">
      <c r="A12" s="91">
        <v>10.0</v>
      </c>
      <c r="B12" s="92" t="s">
        <v>329</v>
      </c>
      <c r="C12" s="91">
        <v>24962.0</v>
      </c>
    </row>
    <row r="13" ht="12.75" customHeight="1">
      <c r="A13" s="91">
        <v>11.0</v>
      </c>
      <c r="B13" s="92" t="s">
        <v>330</v>
      </c>
      <c r="C13" s="91">
        <v>23609.0</v>
      </c>
    </row>
    <row r="14" ht="12.75" customHeight="1">
      <c r="A14" s="91">
        <v>12.0</v>
      </c>
      <c r="B14" s="92" t="s">
        <v>331</v>
      </c>
      <c r="C14" s="91">
        <v>30290.0</v>
      </c>
    </row>
    <row r="15" ht="12.75" customHeight="1">
      <c r="A15" s="91">
        <v>13.0</v>
      </c>
      <c r="B15" s="92" t="s">
        <v>332</v>
      </c>
      <c r="C15" s="91">
        <v>33856.0</v>
      </c>
    </row>
    <row r="16" ht="12.75" customHeight="1">
      <c r="A16" s="91">
        <v>14.0</v>
      </c>
      <c r="B16" s="92" t="s">
        <v>333</v>
      </c>
      <c r="C16" s="91">
        <v>23515.0</v>
      </c>
    </row>
    <row r="17" ht="12.75" customHeight="1">
      <c r="A17" s="91">
        <v>15.0</v>
      </c>
      <c r="B17" s="92" t="s">
        <v>334</v>
      </c>
      <c r="C17" s="91">
        <v>31877.0</v>
      </c>
    </row>
    <row r="18" ht="12.75" customHeight="1">
      <c r="A18" s="91">
        <v>16.0</v>
      </c>
      <c r="B18" s="92" t="s">
        <v>335</v>
      </c>
      <c r="C18" s="91">
        <v>23506.0</v>
      </c>
    </row>
    <row r="19" ht="12.75" customHeight="1">
      <c r="A19" s="91">
        <v>17.0</v>
      </c>
      <c r="B19" s="92" t="s">
        <v>337</v>
      </c>
      <c r="C19" s="91">
        <v>23606.0</v>
      </c>
    </row>
    <row r="20" ht="12.75" customHeight="1">
      <c r="A20" s="91">
        <v>18.0</v>
      </c>
      <c r="B20" s="92" t="s">
        <v>338</v>
      </c>
      <c r="C20" s="91">
        <v>25026.0</v>
      </c>
    </row>
    <row r="21" ht="12.75" customHeight="1">
      <c r="A21" s="91">
        <v>19.0</v>
      </c>
      <c r="B21" s="92" t="s">
        <v>339</v>
      </c>
      <c r="C21" s="91">
        <v>25009.0</v>
      </c>
    </row>
    <row r="22" ht="12.75" customHeight="1">
      <c r="A22" s="91">
        <v>20.0</v>
      </c>
      <c r="B22" s="92" t="s">
        <v>340</v>
      </c>
      <c r="C22" s="91">
        <v>25070.0</v>
      </c>
    </row>
    <row r="23" ht="12.75" customHeight="1">
      <c r="A23" s="91">
        <v>21.0</v>
      </c>
      <c r="B23" s="92" t="s">
        <v>341</v>
      </c>
      <c r="C23" s="91">
        <v>23635.0</v>
      </c>
    </row>
    <row r="24" ht="12.75" customHeight="1">
      <c r="A24" s="91">
        <v>22.0</v>
      </c>
      <c r="B24" s="92" t="s">
        <v>342</v>
      </c>
      <c r="C24" s="91">
        <v>30303.0</v>
      </c>
    </row>
    <row r="25" ht="12.75" customHeight="1">
      <c r="A25" s="91">
        <v>23.0</v>
      </c>
      <c r="B25" s="92" t="s">
        <v>343</v>
      </c>
      <c r="C25" s="91">
        <v>23529.0</v>
      </c>
    </row>
    <row r="26" ht="12.75" customHeight="1">
      <c r="A26" s="91">
        <v>24.0</v>
      </c>
      <c r="B26" s="92" t="s">
        <v>344</v>
      </c>
      <c r="C26" s="91">
        <v>30214.0</v>
      </c>
    </row>
    <row r="27" ht="12.75" customHeight="1">
      <c r="A27" s="91">
        <v>25.0</v>
      </c>
      <c r="B27" s="92" t="s">
        <v>345</v>
      </c>
      <c r="C27" s="91">
        <v>23555.0</v>
      </c>
    </row>
    <row r="28" ht="12.75" customHeight="1">
      <c r="A28" s="91">
        <v>26.0</v>
      </c>
      <c r="B28" s="92" t="s">
        <v>346</v>
      </c>
      <c r="C28" s="91">
        <v>30306.0</v>
      </c>
    </row>
    <row r="29" ht="12.75" customHeight="1">
      <c r="A29" s="91">
        <v>27.0</v>
      </c>
      <c r="B29" s="92" t="s">
        <v>347</v>
      </c>
      <c r="C29" s="91">
        <v>33860.0</v>
      </c>
    </row>
    <row r="30" ht="12.75" customHeight="1">
      <c r="A30" s="91">
        <v>28.0</v>
      </c>
      <c r="B30" s="92" t="s">
        <v>348</v>
      </c>
      <c r="C30" s="91">
        <v>23611.0</v>
      </c>
    </row>
    <row r="31" ht="12.75" customHeight="1">
      <c r="A31" s="91">
        <v>29.0</v>
      </c>
      <c r="B31" s="92" t="s">
        <v>350</v>
      </c>
      <c r="C31" s="91">
        <v>23525.0</v>
      </c>
    </row>
    <row r="32" ht="12.75" customHeight="1">
      <c r="A32" s="91">
        <v>30.0</v>
      </c>
      <c r="B32" s="92" t="s">
        <v>351</v>
      </c>
      <c r="C32" s="91">
        <v>23466.0</v>
      </c>
    </row>
    <row r="33" ht="12.75" customHeight="1">
      <c r="A33" s="91">
        <v>31.0</v>
      </c>
      <c r="B33" s="92" t="s">
        <v>352</v>
      </c>
      <c r="C33" s="91">
        <v>30298.0</v>
      </c>
    </row>
    <row r="34" ht="12.75" customHeight="1">
      <c r="A34" s="91">
        <v>32.0</v>
      </c>
      <c r="B34" s="92" t="s">
        <v>353</v>
      </c>
      <c r="C34" s="91">
        <v>23514.0</v>
      </c>
    </row>
    <row r="35" ht="12.75" customHeight="1">
      <c r="A35" s="91">
        <v>33.0</v>
      </c>
      <c r="B35" s="92" t="s">
        <v>354</v>
      </c>
      <c r="C35" s="91">
        <v>23523.0</v>
      </c>
    </row>
    <row r="36" ht="12.75" customHeight="1">
      <c r="A36" s="91">
        <v>34.0</v>
      </c>
      <c r="B36" s="92" t="s">
        <v>355</v>
      </c>
      <c r="C36" s="91">
        <v>25074.0</v>
      </c>
    </row>
    <row r="37" ht="12.75" customHeight="1">
      <c r="A37" s="91">
        <v>35.0</v>
      </c>
      <c r="B37" s="92" t="s">
        <v>356</v>
      </c>
      <c r="C37" s="91">
        <v>33833.0</v>
      </c>
    </row>
    <row r="38" ht="12.75" customHeight="1">
      <c r="A38" s="91">
        <v>36.0</v>
      </c>
      <c r="B38" s="92" t="s">
        <v>357</v>
      </c>
      <c r="C38" s="91">
        <v>23559.0</v>
      </c>
    </row>
    <row r="39" ht="12.75" customHeight="1">
      <c r="A39" s="91">
        <v>37.0</v>
      </c>
      <c r="B39" s="92" t="s">
        <v>358</v>
      </c>
      <c r="C39" s="91">
        <v>23494.0</v>
      </c>
    </row>
    <row r="40" ht="12.75" customHeight="1">
      <c r="A40" s="91">
        <v>38.0</v>
      </c>
      <c r="B40" s="92" t="s">
        <v>359</v>
      </c>
      <c r="C40" s="91">
        <v>23424.0</v>
      </c>
    </row>
    <row r="41" ht="12.75" customHeight="1">
      <c r="A41" s="91">
        <v>39.0</v>
      </c>
      <c r="B41" s="92" t="s">
        <v>360</v>
      </c>
      <c r="C41" s="91">
        <v>23428.0</v>
      </c>
    </row>
    <row r="42" ht="12.75" customHeight="1">
      <c r="A42" s="91">
        <v>40.0</v>
      </c>
      <c r="B42" s="92" t="s">
        <v>361</v>
      </c>
      <c r="C42" s="91">
        <v>23528.0</v>
      </c>
    </row>
    <row r="43" ht="12.75" customHeight="1">
      <c r="A43" s="91">
        <v>41.0</v>
      </c>
      <c r="B43" s="92" t="s">
        <v>362</v>
      </c>
      <c r="C43" s="91">
        <v>23557.0</v>
      </c>
    </row>
    <row r="44" ht="12.75" customHeight="1">
      <c r="A44" s="91">
        <v>42.0</v>
      </c>
      <c r="B44" s="92" t="s">
        <v>363</v>
      </c>
      <c r="C44" s="91">
        <v>23493.0</v>
      </c>
    </row>
    <row r="45" ht="12.75" customHeight="1">
      <c r="A45" s="91">
        <v>43.0</v>
      </c>
      <c r="B45" s="92" t="s">
        <v>364</v>
      </c>
      <c r="C45" s="91">
        <v>23637.0</v>
      </c>
    </row>
    <row r="46" ht="12.75" customHeight="1">
      <c r="A46" s="91">
        <v>44.0</v>
      </c>
      <c r="B46" s="92" t="s">
        <v>365</v>
      </c>
      <c r="C46" s="91">
        <v>23524.0</v>
      </c>
    </row>
    <row r="47" ht="12.75" customHeight="1">
      <c r="A47" s="91">
        <v>45.0</v>
      </c>
      <c r="B47" s="92" t="s">
        <v>366</v>
      </c>
      <c r="C47" s="91">
        <v>24965.0</v>
      </c>
    </row>
    <row r="48" ht="12.75" customHeight="1">
      <c r="A48" s="91">
        <v>46.0</v>
      </c>
      <c r="B48" s="92" t="s">
        <v>367</v>
      </c>
      <c r="C48" s="91">
        <v>30305.0</v>
      </c>
    </row>
    <row r="49" ht="12.75" customHeight="1">
      <c r="A49" s="91">
        <v>47.0</v>
      </c>
      <c r="B49" s="92" t="s">
        <v>368</v>
      </c>
      <c r="C49" s="91">
        <v>23569.0</v>
      </c>
    </row>
    <row r="50" ht="12.75" customHeight="1">
      <c r="A50" s="91">
        <v>48.0</v>
      </c>
      <c r="B50" s="92" t="s">
        <v>369</v>
      </c>
      <c r="C50" s="91">
        <v>23512.0</v>
      </c>
    </row>
    <row r="51" ht="12.75" customHeight="1">
      <c r="A51" s="91">
        <v>49.0</v>
      </c>
      <c r="B51" s="92" t="s">
        <v>370</v>
      </c>
      <c r="C51" s="91">
        <v>33835.0</v>
      </c>
    </row>
    <row r="52" ht="12.75" customHeight="1">
      <c r="A52" s="91">
        <v>50.0</v>
      </c>
      <c r="B52" s="92" t="s">
        <v>371</v>
      </c>
      <c r="C52" s="91">
        <v>30310.0</v>
      </c>
    </row>
    <row r="53" ht="12.75" customHeight="1">
      <c r="A53" s="91">
        <v>51.0</v>
      </c>
      <c r="B53" s="92" t="s">
        <v>372</v>
      </c>
      <c r="C53" s="91">
        <v>30304.0</v>
      </c>
    </row>
    <row r="54" ht="12.75" customHeight="1">
      <c r="A54" s="91">
        <v>52.0</v>
      </c>
      <c r="B54" s="92" t="s">
        <v>373</v>
      </c>
      <c r="C54" s="91">
        <v>30313.0</v>
      </c>
    </row>
    <row r="55" ht="12.75" customHeight="1">
      <c r="A55" s="91">
        <v>53.0</v>
      </c>
      <c r="B55" s="92" t="s">
        <v>374</v>
      </c>
      <c r="C55" s="91">
        <v>33852.0</v>
      </c>
    </row>
    <row r="56" ht="12.75" customHeight="1">
      <c r="A56" s="91">
        <v>54.0</v>
      </c>
      <c r="B56" s="92" t="s">
        <v>375</v>
      </c>
      <c r="C56" s="91">
        <v>25038.0</v>
      </c>
    </row>
    <row r="57" ht="12.75" customHeight="1">
      <c r="A57" s="91">
        <v>55.0</v>
      </c>
      <c r="B57" s="92" t="s">
        <v>376</v>
      </c>
      <c r="C57" s="91">
        <v>33813.0</v>
      </c>
    </row>
    <row r="58" ht="12.75" customHeight="1">
      <c r="A58" s="91" t="s">
        <v>321</v>
      </c>
      <c r="B58" s="92" t="s">
        <v>377</v>
      </c>
      <c r="C58" s="91">
        <v>30364.0</v>
      </c>
    </row>
    <row r="59" ht="12.75" customHeight="1">
      <c r="A59" s="91">
        <v>57.0</v>
      </c>
      <c r="B59" s="92" t="s">
        <v>378</v>
      </c>
      <c r="C59" s="91">
        <v>30371.0</v>
      </c>
    </row>
    <row r="60" ht="12.75" customHeight="1">
      <c r="A60" s="91">
        <v>58.0</v>
      </c>
      <c r="B60" s="92" t="s">
        <v>379</v>
      </c>
      <c r="C60" s="91">
        <v>25091.0</v>
      </c>
    </row>
    <row r="61" ht="12.75" customHeight="1">
      <c r="A61" s="91">
        <v>59.0</v>
      </c>
      <c r="B61" s="92" t="s">
        <v>380</v>
      </c>
      <c r="C61" s="91">
        <v>30315.0</v>
      </c>
    </row>
    <row r="62" ht="12.75" customHeight="1">
      <c r="A62" s="91">
        <v>60.0</v>
      </c>
      <c r="B62" s="92" t="s">
        <v>381</v>
      </c>
      <c r="C62" s="91">
        <v>23532.0</v>
      </c>
    </row>
    <row r="63" ht="12.75" customHeight="1">
      <c r="A63" s="91">
        <v>61.0</v>
      </c>
      <c r="B63" s="92" t="s">
        <v>382</v>
      </c>
      <c r="C63" s="91">
        <v>30369.0</v>
      </c>
    </row>
    <row r="64" ht="12.75" customHeight="1">
      <c r="A64" s="91">
        <v>62.0</v>
      </c>
      <c r="B64" s="92" t="s">
        <v>383</v>
      </c>
      <c r="C64" s="91">
        <v>30302.0</v>
      </c>
    </row>
    <row r="65" ht="12.75" customHeight="1">
      <c r="A65" s="91">
        <v>63.0</v>
      </c>
      <c r="B65" s="92" t="s">
        <v>384</v>
      </c>
      <c r="C65" s="91">
        <v>23504.0</v>
      </c>
    </row>
    <row r="66" ht="12.75" customHeight="1">
      <c r="A66" s="91">
        <v>64.0</v>
      </c>
      <c r="B66" s="92" t="s">
        <v>385</v>
      </c>
      <c r="C66" s="91">
        <v>23495.0</v>
      </c>
    </row>
    <row r="67" ht="12.75" customHeight="1">
      <c r="A67" s="91">
        <v>65.0</v>
      </c>
      <c r="B67" s="92" t="s">
        <v>386</v>
      </c>
      <c r="C67" s="91">
        <v>30311.0</v>
      </c>
    </row>
    <row r="68" ht="12.75" customHeight="1">
      <c r="A68" s="91">
        <v>66.0</v>
      </c>
      <c r="B68" s="92" t="s">
        <v>387</v>
      </c>
      <c r="C68" s="91">
        <v>33823.0</v>
      </c>
    </row>
    <row r="69" ht="12.75" customHeight="1">
      <c r="A69" s="91">
        <v>67.0</v>
      </c>
      <c r="B69" s="92" t="s">
        <v>388</v>
      </c>
      <c r="C69" s="91">
        <v>30297.0</v>
      </c>
    </row>
    <row r="70" ht="12.75" customHeight="1">
      <c r="A70" s="91">
        <v>68.0</v>
      </c>
      <c r="B70" s="92" t="s">
        <v>389</v>
      </c>
      <c r="C70" s="91">
        <v>23626.0</v>
      </c>
    </row>
    <row r="71" ht="12.75" customHeight="1">
      <c r="A71" s="91">
        <v>69.0</v>
      </c>
      <c r="B71" s="92" t="s">
        <v>390</v>
      </c>
      <c r="C71" s="91">
        <v>23499.0</v>
      </c>
    </row>
    <row r="72" ht="12.75" customHeight="1">
      <c r="A72" s="91">
        <v>70.0</v>
      </c>
      <c r="B72" s="92" t="s">
        <v>391</v>
      </c>
      <c r="C72" s="91">
        <v>25056.0</v>
      </c>
    </row>
    <row r="73" ht="12.75" customHeight="1">
      <c r="A73" s="91">
        <v>71.0</v>
      </c>
      <c r="B73" s="92" t="s">
        <v>392</v>
      </c>
      <c r="C73" s="91">
        <v>30308.0</v>
      </c>
    </row>
    <row r="74" ht="12.75" customHeight="1">
      <c r="A74" s="91">
        <v>72.0</v>
      </c>
      <c r="B74" s="92" t="s">
        <v>393</v>
      </c>
      <c r="C74" s="91">
        <v>23610.0</v>
      </c>
    </row>
    <row r="75" ht="12.75" customHeight="1">
      <c r="A75" s="91">
        <v>73.0</v>
      </c>
      <c r="B75" s="92" t="s">
        <v>394</v>
      </c>
      <c r="C75" s="91">
        <v>23527.0</v>
      </c>
    </row>
    <row r="76" ht="12.75" customHeight="1">
      <c r="A76" s="91">
        <v>74.0</v>
      </c>
      <c r="B76" s="92" t="s">
        <v>395</v>
      </c>
      <c r="C76" s="91">
        <v>24960.0</v>
      </c>
    </row>
    <row r="77" ht="12.75" customHeight="1">
      <c r="A77" s="91">
        <v>75.0</v>
      </c>
      <c r="B77" s="92" t="s">
        <v>396</v>
      </c>
      <c r="C77" s="91">
        <v>25061.0</v>
      </c>
    </row>
    <row r="78" ht="12.75" customHeight="1">
      <c r="A78" s="91">
        <v>76.0</v>
      </c>
      <c r="B78" s="92" t="s">
        <v>397</v>
      </c>
      <c r="C78" s="91">
        <v>23421.0</v>
      </c>
    </row>
    <row r="79" ht="12.75" customHeight="1">
      <c r="A79" s="91">
        <v>77.0</v>
      </c>
      <c r="B79" s="92" t="s">
        <v>398</v>
      </c>
      <c r="C79" s="91">
        <v>25005.0</v>
      </c>
    </row>
    <row r="80" ht="12.75" customHeight="1">
      <c r="A80" s="91">
        <v>78.0</v>
      </c>
      <c r="B80" s="98" t="s">
        <v>399</v>
      </c>
      <c r="C80" s="91">
        <v>25018.0</v>
      </c>
    </row>
    <row r="81" ht="12.75" customHeight="1">
      <c r="A81" s="91">
        <v>79.0</v>
      </c>
      <c r="B81" s="92" t="s">
        <v>400</v>
      </c>
      <c r="C81" s="91">
        <v>30379.0</v>
      </c>
    </row>
    <row r="82" ht="12.75" customHeight="1">
      <c r="A82" s="91">
        <v>80.0</v>
      </c>
      <c r="B82" s="98" t="s">
        <v>401</v>
      </c>
      <c r="C82" s="91">
        <v>33836.0</v>
      </c>
    </row>
    <row r="83" ht="12.75" customHeight="1">
      <c r="A83" s="91">
        <v>81.0</v>
      </c>
      <c r="B83" s="98" t="s">
        <v>402</v>
      </c>
      <c r="C83" s="91">
        <v>33843.0</v>
      </c>
    </row>
    <row r="84" ht="12.75" customHeight="1">
      <c r="A84" s="91">
        <v>82.0</v>
      </c>
      <c r="B84" s="92" t="s">
        <v>403</v>
      </c>
      <c r="C84" s="91">
        <v>23613.0</v>
      </c>
    </row>
    <row r="85" ht="12.75" customHeight="1">
      <c r="A85" s="91">
        <v>83.0</v>
      </c>
      <c r="B85" s="92" t="s">
        <v>404</v>
      </c>
      <c r="C85" s="91">
        <v>25087.0</v>
      </c>
    </row>
    <row r="86" ht="12.75" customHeight="1">
      <c r="A86" s="91">
        <v>84.0</v>
      </c>
      <c r="B86" s="92" t="s">
        <v>405</v>
      </c>
      <c r="C86" s="91">
        <v>25079.0</v>
      </c>
    </row>
    <row r="87" ht="12.75" customHeight="1">
      <c r="A87" s="91">
        <v>85.0</v>
      </c>
      <c r="B87" s="92" t="s">
        <v>406</v>
      </c>
      <c r="C87" s="91">
        <v>30283.0</v>
      </c>
    </row>
    <row r="88" ht="12.75" customHeight="1">
      <c r="A88" s="91">
        <v>86.0</v>
      </c>
      <c r="B88" s="92" t="s">
        <v>407</v>
      </c>
      <c r="C88" s="91">
        <v>23503.0</v>
      </c>
    </row>
    <row r="89" ht="12.75" customHeight="1">
      <c r="A89" s="91">
        <v>87.0</v>
      </c>
      <c r="B89" s="92" t="s">
        <v>408</v>
      </c>
      <c r="C89" s="91">
        <v>25053.0</v>
      </c>
    </row>
    <row r="90" ht="12.75" customHeight="1">
      <c r="A90" s="102"/>
    </row>
    <row r="91" ht="12.75" customHeight="1">
      <c r="A91" s="102"/>
    </row>
    <row r="92" ht="12.75" customHeight="1">
      <c r="A92" s="102"/>
    </row>
    <row r="93" ht="12.75" customHeight="1">
      <c r="A93" s="102"/>
    </row>
    <row r="94" ht="12.75" customHeight="1">
      <c r="A94" s="102"/>
    </row>
    <row r="95" ht="12.75" customHeight="1">
      <c r="A95" s="102"/>
    </row>
    <row r="96" ht="12.75" customHeight="1">
      <c r="A96" s="102"/>
    </row>
    <row r="97" ht="12.75" customHeight="1">
      <c r="A97" s="102"/>
    </row>
    <row r="98" ht="12.75" customHeight="1">
      <c r="A98" s="102"/>
    </row>
    <row r="99" ht="12.75" customHeight="1">
      <c r="A99" s="102"/>
    </row>
    <row r="100" ht="12.75" customHeight="1">
      <c r="A100" s="102"/>
    </row>
    <row r="101" ht="12.75" customHeight="1">
      <c r="A101" s="102"/>
    </row>
    <row r="102" ht="12.75" customHeight="1">
      <c r="A102" s="102"/>
    </row>
    <row r="103" ht="12.75" customHeight="1">
      <c r="A103" s="102"/>
    </row>
    <row r="104" ht="12.75" customHeight="1">
      <c r="A104" s="102"/>
    </row>
    <row r="105" ht="12.75" customHeight="1">
      <c r="A105" s="102"/>
    </row>
    <row r="106" ht="12.75" customHeight="1">
      <c r="A106" s="102"/>
    </row>
    <row r="107" ht="12.75" customHeight="1">
      <c r="A107" s="102"/>
    </row>
    <row r="108" ht="12.75" customHeight="1">
      <c r="A108" s="102"/>
    </row>
    <row r="109" ht="12.75" customHeight="1">
      <c r="A109" s="102"/>
    </row>
    <row r="110" ht="12.75" customHeight="1">
      <c r="A110" s="102"/>
    </row>
    <row r="111" ht="12.75" customHeight="1">
      <c r="A111" s="102"/>
    </row>
    <row r="112" ht="12.75" customHeight="1">
      <c r="A112" s="102"/>
    </row>
    <row r="113" ht="12.75" customHeight="1">
      <c r="A113" s="102"/>
    </row>
    <row r="114" ht="12.75" customHeight="1">
      <c r="A114" s="102"/>
    </row>
    <row r="115" ht="12.75" customHeight="1">
      <c r="A115" s="102"/>
    </row>
    <row r="116" ht="12.75" customHeight="1">
      <c r="A116" s="102"/>
    </row>
    <row r="117" ht="12.75" customHeight="1">
      <c r="A117" s="102"/>
    </row>
    <row r="118" ht="12.75" customHeight="1">
      <c r="A118" s="102"/>
    </row>
    <row r="119" ht="12.75" customHeight="1">
      <c r="A119" s="102"/>
    </row>
    <row r="120" ht="12.75" customHeight="1">
      <c r="A120" s="102"/>
    </row>
    <row r="121" ht="12.75" customHeight="1">
      <c r="A121" s="102"/>
    </row>
    <row r="122" ht="12.75" customHeight="1">
      <c r="A122" s="102"/>
    </row>
    <row r="123" ht="12.75" customHeight="1">
      <c r="A123" s="102"/>
    </row>
    <row r="124" ht="12.75" customHeight="1">
      <c r="A124" s="102"/>
    </row>
    <row r="125" ht="12.75" customHeight="1">
      <c r="A125" s="102"/>
    </row>
    <row r="126" ht="12.75" customHeight="1">
      <c r="A126" s="102"/>
    </row>
    <row r="127" ht="12.75" customHeight="1">
      <c r="A127" s="102"/>
    </row>
    <row r="128" ht="12.75" customHeight="1">
      <c r="A128" s="102"/>
    </row>
    <row r="129" ht="12.75" customHeight="1">
      <c r="A129" s="102"/>
    </row>
    <row r="130" ht="12.75" customHeight="1">
      <c r="A130" s="102"/>
    </row>
    <row r="131" ht="12.75" customHeight="1">
      <c r="A131" s="102"/>
    </row>
    <row r="132" ht="12.75" customHeight="1">
      <c r="A132" s="102"/>
    </row>
    <row r="133" ht="12.75" customHeight="1">
      <c r="A133" s="102"/>
    </row>
    <row r="134" ht="12.75" customHeight="1">
      <c r="A134" s="102"/>
    </row>
    <row r="135" ht="12.75" customHeight="1">
      <c r="A135" s="102"/>
    </row>
    <row r="136" ht="12.75" customHeight="1">
      <c r="A136" s="102"/>
    </row>
    <row r="137" ht="12.75" customHeight="1">
      <c r="A137" s="102"/>
    </row>
    <row r="138" ht="12.75" customHeight="1">
      <c r="A138" s="102"/>
    </row>
    <row r="139" ht="12.75" customHeight="1">
      <c r="A139" s="102"/>
    </row>
    <row r="140" ht="12.75" customHeight="1">
      <c r="A140" s="102"/>
    </row>
    <row r="141" ht="12.75" customHeight="1">
      <c r="A141" s="102"/>
    </row>
    <row r="142" ht="12.75" customHeight="1">
      <c r="A142" s="102"/>
    </row>
    <row r="143" ht="12.75" customHeight="1">
      <c r="A143" s="102"/>
    </row>
    <row r="144" ht="12.75" customHeight="1">
      <c r="A144" s="102"/>
    </row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1:A2"/>
    <mergeCell ref="B1:B2"/>
  </mergeCells>
  <conditionalFormatting sqref="B3:C16 B17:B57 B59 B74:C74 B78 C17 C19:C25 C27:C36 C38 C40 C42:C43 C45:C52 C54:C68 C70:C73">
    <cfRule type="cellIs" dxfId="13" priority="1" stopIfTrue="1" operator="equal">
      <formula>"WO"</formula>
    </cfRule>
  </conditionalFormatting>
  <printOptions/>
  <pageMargins bottom="1.0" footer="0.0" header="0.0" left="0.75" right="0.75" top="1.0"/>
  <pageSetup orientation="portrait"/>
  <headerFooter>
    <oddFooter>&amp;CSerco Internal</oddFooter>
  </headerFooter>
  <drawing r:id="rId1"/>
</worksheet>
</file>