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870"/>
  </bookViews>
  <sheets>
    <sheet name="交付指标" sheetId="5" r:id="rId1"/>
    <sheet name="盈亏" sheetId="11" state="hidden" r:id="rId2"/>
    <sheet name="试产" sheetId="13" state="hidden" r:id="rId3"/>
    <sheet name="代工收入" sheetId="12" state="hidden" r:id="rId4"/>
    <sheet name="上线齐套率" sheetId="8" state="hidden" r:id="rId5"/>
    <sheet name="MPS达成状况" sheetId="9" state="hidden" r:id="rId6"/>
    <sheet name="10月份损失工时汇总" sheetId="10" state="hidden" r:id="rId7"/>
  </sheets>
  <externalReferences>
    <externalReference r:id="rId10"/>
  </externalReferences>
  <definedNames>
    <definedName name="_xlnm._FilterDatabase" localSheetId="2" hidden="1">试产!$A$1:$K$38</definedName>
    <definedName name="_xlnm._FilterDatabase" localSheetId="3" hidden="1">代工收入!$A$1:$E$93</definedName>
    <definedName name="_xlnm._FilterDatabase" localSheetId="5" hidden="1">MPS达成状况!$A$3:$VPM$419</definedName>
    <definedName name="_xlnm._FilterDatabase" localSheetId="6" hidden="1">'10月份损失工时汇总'!$2:$191</definedName>
    <definedName name="_xlnm._FilterDatabase" localSheetId="4" hidden="1">上线齐套率!#REF!</definedName>
    <definedName name="A" localSheetId="1">#REF!</definedName>
    <definedName name="A">#REF!</definedName>
    <definedName name="_xlnm.Print_Titles" localSheetId="6">'10月份损失工时汇总'!$1:$2</definedName>
    <definedName name="电商" localSheetId="6">'10月份损失工时汇总'!#REF!</definedName>
    <definedName name="电商">#REF!</definedName>
    <definedName name="行政" localSheetId="6">'10月份损失工时汇总'!#REF!</definedName>
    <definedName name="行政">#REF!</definedName>
    <definedName name="行政部" localSheetId="6">'10月份损失工时汇总'!#REF!</definedName>
    <definedName name="行政部">#REF!</definedName>
    <definedName name="_xlnm._FilterDatabase" localSheetId="0" hidden="1">交付指标!#REF!</definedName>
  </definedNames>
  <calcPr calcId="144525"/>
  <pivotCaches>
    <pivotCache cacheId="0" r:id="rId9"/>
  </pivotCaches>
</workbook>
</file>

<file path=xl/comments1.xml><?xml version="1.0" encoding="utf-8"?>
<comments xmlns="http://schemas.openxmlformats.org/spreadsheetml/2006/main">
  <authors>
    <author>xynoc</author>
  </authors>
  <commentList>
    <comment ref="A1" authorId="0">
      <text>
        <r>
          <rPr>
            <sz val="9"/>
            <rFont val="宋体"/>
            <charset val="134"/>
          </rPr>
          <t>aftercell  {% for row in soRows %}</t>
        </r>
      </text>
    </comment>
    <comment ref="C1" authorId="0">
      <text>
        <r>
          <rPr>
            <sz val="9"/>
            <rFont val="宋体"/>
            <charset val="134"/>
          </rPr>
          <t xml:space="preserve">aftercell  {% endfor %}
</t>
        </r>
      </text>
    </comment>
    <comment ref="A2" authorId="0">
      <text>
        <r>
          <rPr>
            <sz val="9"/>
            <rFont val="宋体"/>
            <charset val="134"/>
          </rPr>
          <t>aftercell  {% for row in soRows %}</t>
        </r>
      </text>
    </comment>
    <comment ref="C2" authorId="0">
      <text>
        <r>
          <rPr>
            <sz val="9"/>
            <rFont val="宋体"/>
            <charset val="134"/>
          </rPr>
          <t xml:space="preserve">aftercell  {% endfor %}
</t>
        </r>
      </text>
    </comment>
  </commentList>
</comments>
</file>

<file path=xl/comments2.xml><?xml version="1.0" encoding="utf-8"?>
<comments xmlns="http://schemas.openxmlformats.org/spreadsheetml/2006/main">
  <authors>
    <author>VOOPOO</author>
  </authors>
  <commentList>
    <comment ref="AC105" authorId="0">
      <text>
        <r>
          <rPr>
            <b/>
            <sz val="9"/>
            <rFont val="宋体"/>
            <charset val="134"/>
          </rPr>
          <t>VOOPOO:</t>
        </r>
        <r>
          <rPr>
            <sz val="9"/>
            <rFont val="宋体"/>
            <charset val="134"/>
          </rPr>
          <t xml:space="preserve">
备货美国6W+标准4W</t>
        </r>
      </text>
    </comment>
    <comment ref="Q190" authorId="0">
      <text>
        <r>
          <rPr>
            <b/>
            <sz val="9"/>
            <rFont val="宋体"/>
            <charset val="134"/>
          </rPr>
          <t>VOOPOO:</t>
        </r>
        <r>
          <rPr>
            <sz val="9"/>
            <rFont val="宋体"/>
            <charset val="134"/>
          </rPr>
          <t xml:space="preserve">
马来
</t>
        </r>
      </text>
    </comment>
    <comment ref="H200" authorId="0">
      <text>
        <r>
          <rPr>
            <b/>
            <sz val="9"/>
            <rFont val="宋体"/>
            <charset val="134"/>
          </rPr>
          <t>VOOPOO:</t>
        </r>
        <r>
          <rPr>
            <sz val="9"/>
            <rFont val="宋体"/>
            <charset val="134"/>
          </rPr>
          <t xml:space="preserve">
美国9.3W</t>
        </r>
      </text>
    </comment>
    <comment ref="F210" authorId="0">
      <text>
        <r>
          <rPr>
            <b/>
            <sz val="9"/>
            <rFont val="宋体"/>
            <charset val="134"/>
          </rPr>
          <t>VOOPOO:</t>
        </r>
        <r>
          <rPr>
            <sz val="9"/>
            <rFont val="宋体"/>
            <charset val="134"/>
          </rPr>
          <t xml:space="preserve">
美国延期
</t>
        </r>
      </text>
    </comment>
    <comment ref="J210" authorId="0">
      <text>
        <r>
          <rPr>
            <b/>
            <sz val="9"/>
            <rFont val="宋体"/>
            <charset val="134"/>
          </rPr>
          <t>VOOPOO:</t>
        </r>
        <r>
          <rPr>
            <sz val="9"/>
            <rFont val="宋体"/>
            <charset val="134"/>
          </rPr>
          <t xml:space="preserve">
马来西亚，菲律宾升级</t>
        </r>
      </text>
    </comment>
  </commentList>
</comments>
</file>

<file path=xl/sharedStrings.xml><?xml version="1.0" encoding="utf-8"?>
<sst xmlns="http://schemas.openxmlformats.org/spreadsheetml/2006/main" count="2648" uniqueCount="578">
  <si>
    <t xml:space="preserve">{{row.Order_Date}} </t>
  </si>
  <si>
    <t>[[del]]</t>
  </si>
  <si>
    <t>{{row.Final_Order_Rebate_Amount_Cny}}</t>
  </si>
  <si>
    <t>月份</t>
  </si>
  <si>
    <t>1号</t>
  </si>
  <si>
    <t>2号</t>
  </si>
  <si>
    <t>3号</t>
  </si>
  <si>
    <t>4号</t>
  </si>
  <si>
    <t>5号</t>
  </si>
  <si>
    <t>6号</t>
  </si>
  <si>
    <t>7号</t>
  </si>
  <si>
    <t>8号</t>
  </si>
  <si>
    <t>9号</t>
  </si>
  <si>
    <t>10号</t>
  </si>
  <si>
    <t>11号</t>
  </si>
  <si>
    <t>12号</t>
  </si>
  <si>
    <t>13号</t>
  </si>
  <si>
    <t>14号</t>
  </si>
  <si>
    <t>15号</t>
  </si>
  <si>
    <t>16号</t>
  </si>
  <si>
    <t>17号</t>
  </si>
  <si>
    <t>18号</t>
  </si>
  <si>
    <t>19号</t>
  </si>
  <si>
    <t>20号</t>
  </si>
  <si>
    <t>21号</t>
  </si>
  <si>
    <t>22号</t>
  </si>
  <si>
    <t>23号</t>
  </si>
  <si>
    <t>24号</t>
  </si>
  <si>
    <t>25号</t>
  </si>
  <si>
    <t>26号</t>
  </si>
  <si>
    <t>27号</t>
  </si>
  <si>
    <t>28号</t>
  </si>
  <si>
    <t>29号</t>
  </si>
  <si>
    <t>30号</t>
  </si>
  <si>
    <t>31号</t>
  </si>
  <si>
    <t>入库数量万pcs</t>
  </si>
  <si>
    <t>雾化芯</t>
  </si>
  <si>
    <t>一次性烟</t>
  </si>
  <si>
    <t>一、收入：C=A</t>
  </si>
  <si>
    <t>主营收入A</t>
  </si>
  <si>
    <t>代工收入</t>
  </si>
  <si>
    <t>其中</t>
  </si>
  <si>
    <t>小烟收入</t>
  </si>
  <si>
    <t>二、制造费用合计D=e+f+g+h+i</t>
  </si>
  <si>
    <t>人工</t>
  </si>
  <si>
    <t>直接人工e</t>
  </si>
  <si>
    <t>间直人工f</t>
  </si>
  <si>
    <t>间接人工g</t>
  </si>
  <si>
    <t>制费</t>
  </si>
  <si>
    <t>制费-变动h</t>
  </si>
  <si>
    <t>制费-固定i</t>
  </si>
  <si>
    <t>三、工厂利润J=C-D+剔除费用</t>
  </si>
  <si>
    <t xml:space="preserve">       工厂利润率K=J/C</t>
  </si>
  <si>
    <t>冲减成本</t>
  </si>
  <si>
    <t>研发试产项目X</t>
  </si>
  <si>
    <t>供应商扣款Y</t>
  </si>
  <si>
    <t>四、调减后工厂利润G=K-X-Y-Z</t>
  </si>
  <si>
    <t>日期</t>
  </si>
  <si>
    <t>线别</t>
  </si>
  <si>
    <t>拉长</t>
  </si>
  <si>
    <t>生产工单号</t>
  </si>
  <si>
    <t>产品型号</t>
  </si>
  <si>
    <t>工单数（PCS）</t>
  </si>
  <si>
    <t>累计完成数(PCS)</t>
  </si>
  <si>
    <t>人力（个）</t>
  </si>
  <si>
    <t>试产损失工时（H）</t>
  </si>
  <si>
    <t>损失类别</t>
  </si>
  <si>
    <t>备注</t>
  </si>
  <si>
    <t>A3试产1线</t>
  </si>
  <si>
    <t>伍鹏飞</t>
  </si>
  <si>
    <t>5186-20220920039</t>
  </si>
  <si>
    <t>UD022</t>
  </si>
  <si>
    <t>推广样机</t>
  </si>
  <si>
    <t>5186-20220920040</t>
  </si>
  <si>
    <t>/</t>
  </si>
  <si>
    <t>UD007</t>
  </si>
  <si>
    <t>试产</t>
  </si>
  <si>
    <t>UD023</t>
  </si>
  <si>
    <t>A201</t>
  </si>
  <si>
    <t>陈纪才</t>
  </si>
  <si>
    <t>5185-20220925005</t>
  </si>
  <si>
    <t>UD015</t>
  </si>
  <si>
    <t>ZD002</t>
  </si>
  <si>
    <t>5186-20220905053</t>
  </si>
  <si>
    <t>ZP085</t>
  </si>
  <si>
    <t>5186-20220905054</t>
  </si>
  <si>
    <t>5186-20220905055</t>
  </si>
  <si>
    <t>5186-50220905056</t>
  </si>
  <si>
    <t>5186-20220905057</t>
  </si>
  <si>
    <t>5186-20220905058</t>
  </si>
  <si>
    <t>5186-20220905059</t>
  </si>
  <si>
    <t>5186-20220905060</t>
  </si>
  <si>
    <t>5186-20220905061</t>
  </si>
  <si>
    <t>5186-20220905062</t>
  </si>
  <si>
    <t>5186-202206930001</t>
  </si>
  <si>
    <t>UD007R</t>
  </si>
  <si>
    <t>A205</t>
  </si>
  <si>
    <t>廖庆根</t>
  </si>
  <si>
    <t>5185-20220920051</t>
  </si>
  <si>
    <t>5185-20220920052</t>
  </si>
  <si>
    <t>5185-20220920053</t>
  </si>
  <si>
    <t>5185-20220920054</t>
  </si>
  <si>
    <t>5185-20220920056</t>
  </si>
  <si>
    <t>5185-20220920074</t>
  </si>
  <si>
    <t>5186-20220930002</t>
  </si>
  <si>
    <t>KD032</t>
  </si>
  <si>
    <t>5186-20220930003</t>
  </si>
  <si>
    <t>UD007B</t>
  </si>
  <si>
    <t>5186-20220930004</t>
  </si>
  <si>
    <t>KD070</t>
  </si>
  <si>
    <t>5186-20221005016</t>
  </si>
  <si>
    <t>5186-20221005017</t>
  </si>
  <si>
    <t>5186-20221005018</t>
  </si>
  <si>
    <t>5186-20221005019</t>
  </si>
  <si>
    <t>5186-20221005020</t>
  </si>
  <si>
    <t>5186-20221005021</t>
  </si>
  <si>
    <t>5186-20221005022</t>
  </si>
  <si>
    <t>合计</t>
  </si>
  <si>
    <t>模块</t>
  </si>
  <si>
    <t>品牌</t>
  </si>
  <si>
    <t>机型</t>
  </si>
  <si>
    <t>合格数量</t>
  </si>
  <si>
    <t>已经</t>
  </si>
  <si>
    <t>单价</t>
  </si>
  <si>
    <t>代工</t>
  </si>
  <si>
    <t>求和项:代工</t>
  </si>
  <si>
    <t>VOOPOO</t>
  </si>
  <si>
    <t>C328G</t>
  </si>
  <si>
    <t>C331</t>
  </si>
  <si>
    <t>C343A</t>
  </si>
  <si>
    <t>C347E</t>
  </si>
  <si>
    <t>ODM</t>
  </si>
  <si>
    <t>KD046</t>
  </si>
  <si>
    <t>总计</t>
  </si>
  <si>
    <t>KD050</t>
  </si>
  <si>
    <t>KD053</t>
  </si>
  <si>
    <t>KD054</t>
  </si>
  <si>
    <t>UD005R</t>
  </si>
  <si>
    <t>ZOVOO</t>
  </si>
  <si>
    <t>UD009</t>
  </si>
  <si>
    <t>UD009A</t>
  </si>
  <si>
    <t>UD015A</t>
  </si>
  <si>
    <t>UD022B</t>
  </si>
  <si>
    <t>UD030A</t>
  </si>
  <si>
    <t>包装</t>
  </si>
  <si>
    <t>UD009C</t>
  </si>
  <si>
    <t>UD035</t>
  </si>
  <si>
    <t>KD052</t>
  </si>
  <si>
    <t>UD026</t>
  </si>
  <si>
    <t>UD030B</t>
  </si>
  <si>
    <t>UD012</t>
  </si>
  <si>
    <t>C322</t>
  </si>
  <si>
    <t>KD052C</t>
  </si>
  <si>
    <t>UD010</t>
  </si>
  <si>
    <t>包装后段</t>
  </si>
  <si>
    <t>10月份 制造中心各厂区上线物料齐套率状况</t>
  </si>
  <si>
    <t>厂区</t>
  </si>
  <si>
    <t>月综合</t>
  </si>
  <si>
    <t>WK41</t>
  </si>
  <si>
    <t>WK42</t>
  </si>
  <si>
    <t>WK43</t>
  </si>
  <si>
    <t>WK44</t>
  </si>
  <si>
    <t>WK45</t>
  </si>
  <si>
    <t>寮步          厂</t>
  </si>
  <si>
    <t>ODM（组装）</t>
  </si>
  <si>
    <t>当日开单数</t>
  </si>
  <si>
    <t>物料上线齐套数</t>
  </si>
  <si>
    <t>物料上线欠料数</t>
  </si>
  <si>
    <t>上线物料齐套率</t>
  </si>
  <si>
    <t>ZOPOO（组装）</t>
  </si>
  <si>
    <t>一次性烟组装</t>
  </si>
  <si>
    <t>ODM（包装）</t>
  </si>
  <si>
    <t>ZOPOO（包装）</t>
  </si>
  <si>
    <t>一次性烟（包装）</t>
  </si>
  <si>
    <t>一次性烟（组装+包装）</t>
  </si>
  <si>
    <t>雾化芯组装（voopoo）</t>
  </si>
  <si>
    <t>雾化芯包装（voopoo）</t>
  </si>
  <si>
    <t>雾化芯voopoo（组装+包装）</t>
  </si>
  <si>
    <t>汇总</t>
  </si>
  <si>
    <t xml:space="preserve">9 月 份 产  能  跟  踪  表 </t>
  </si>
  <si>
    <t>爬坡曲线</t>
  </si>
  <si>
    <t>类别</t>
  </si>
  <si>
    <r>
      <rPr>
        <b/>
        <sz val="11"/>
        <color rgb="FF000000"/>
        <rFont val="Microsoft YaHei Light"/>
        <charset val="134"/>
      </rPr>
      <t>9</t>
    </r>
    <r>
      <rPr>
        <b/>
        <sz val="11"/>
        <color indexed="8"/>
        <rFont val="Microsoft YaHei Light"/>
        <charset val="134"/>
      </rPr>
      <t>月MPS</t>
    </r>
  </si>
  <si>
    <r>
      <rPr>
        <b/>
        <sz val="11"/>
        <color theme="1"/>
        <rFont val="Microsoft YaHei Light"/>
        <charset val="134"/>
      </rPr>
      <t>计划</t>
    </r>
    <r>
      <rPr>
        <b/>
        <sz val="11"/>
        <color indexed="8"/>
        <rFont val="Microsoft YaHei Light"/>
        <charset val="134"/>
      </rPr>
      <t>/实际</t>
    </r>
  </si>
  <si>
    <t>UD005</t>
  </si>
  <si>
    <t>班次</t>
  </si>
  <si>
    <t>人力</t>
  </si>
  <si>
    <t>需求人数</t>
  </si>
  <si>
    <t>每日工作时数</t>
  </si>
  <si>
    <t>标准产能(pcs/H)</t>
  </si>
  <si>
    <t>计划产出</t>
  </si>
  <si>
    <t>实际产出</t>
  </si>
  <si>
    <t>差异数</t>
  </si>
  <si>
    <t>累计产出</t>
  </si>
  <si>
    <t>生产达成率</t>
  </si>
  <si>
    <t/>
  </si>
  <si>
    <t>UD005B</t>
  </si>
  <si>
    <t>UD005P</t>
  </si>
  <si>
    <t>UD006B</t>
  </si>
  <si>
    <t xml:space="preserve">UD007R </t>
  </si>
  <si>
    <t>UD008</t>
  </si>
  <si>
    <t>UD013</t>
  </si>
  <si>
    <t>UD015C</t>
  </si>
  <si>
    <t>UD017B</t>
  </si>
  <si>
    <t>清尾</t>
  </si>
  <si>
    <t>UD029</t>
  </si>
  <si>
    <t>KD013</t>
  </si>
  <si>
    <t>KD026B</t>
  </si>
  <si>
    <t>KD036B</t>
  </si>
  <si>
    <t>KD038B</t>
  </si>
  <si>
    <t>KD049A</t>
  </si>
  <si>
    <t>KD056</t>
  </si>
  <si>
    <t>ZD004</t>
  </si>
  <si>
    <t>其他</t>
  </si>
  <si>
    <t>总班次</t>
  </si>
  <si>
    <t>总人力</t>
  </si>
  <si>
    <r>
      <rPr>
        <sz val="11"/>
        <color indexed="8"/>
        <rFont val="Microsoft YaHei Light"/>
        <charset val="134"/>
      </rPr>
      <t>计划产出-正常组装</t>
    </r>
  </si>
  <si>
    <r>
      <rPr>
        <sz val="11"/>
        <color indexed="8"/>
        <rFont val="Microsoft YaHei Light"/>
        <charset val="134"/>
      </rPr>
      <t>计划产出-返工全检</t>
    </r>
  </si>
  <si>
    <t>实际产出-汇总（组装）</t>
  </si>
  <si>
    <t>返工产出</t>
  </si>
  <si>
    <t>计划生产机型数量</t>
  </si>
  <si>
    <t>达成计划机型数量</t>
  </si>
  <si>
    <t>达成/计划</t>
  </si>
  <si>
    <t>10月损失工时汇总表</t>
  </si>
  <si>
    <t>工单单号</t>
  </si>
  <si>
    <t>开始时间</t>
  </si>
  <si>
    <t>工单数（pcs)</t>
  </si>
  <si>
    <t>实际产出（PCS）</t>
  </si>
  <si>
    <t>结束时间</t>
  </si>
  <si>
    <t>损失总工时（H)</t>
  </si>
  <si>
    <t>责任单位</t>
  </si>
  <si>
    <t>责任人</t>
  </si>
  <si>
    <t>异常</t>
  </si>
  <si>
    <t>详细挡产原因</t>
  </si>
  <si>
    <t>成本转嫁单位</t>
  </si>
  <si>
    <t>5185-20220925027</t>
  </si>
  <si>
    <t>PMC</t>
  </si>
  <si>
    <t>King.陈</t>
  </si>
  <si>
    <t>正常换线</t>
  </si>
  <si>
    <t>换线工时：24R*5*7次/60=14H</t>
  </si>
  <si>
    <t>A203</t>
  </si>
  <si>
    <t>黄燕珑</t>
  </si>
  <si>
    <t>5185-20220924050</t>
  </si>
  <si>
    <t>换线工时：24次*10*16R/60=64H</t>
  </si>
  <si>
    <t>A206</t>
  </si>
  <si>
    <t>陈文秀</t>
  </si>
  <si>
    <t>5285-20220928013</t>
  </si>
  <si>
    <t>未签</t>
  </si>
  <si>
    <t>返工</t>
  </si>
  <si>
    <t>返工UD007R=442H</t>
  </si>
  <si>
    <t>A208</t>
  </si>
  <si>
    <t>龙立涛</t>
  </si>
  <si>
    <t>5185-20220925105</t>
  </si>
  <si>
    <t>换线工时：39R*10次*10/60=65H</t>
  </si>
  <si>
    <t>A303</t>
  </si>
  <si>
    <t>吴伟强</t>
  </si>
  <si>
    <t>5186-20220915003</t>
  </si>
  <si>
    <t>换口味8*41/60=5.46H</t>
  </si>
  <si>
    <t>5186-20220928002</t>
  </si>
  <si>
    <t>5186-20220929012</t>
  </si>
  <si>
    <t>A304</t>
  </si>
  <si>
    <t>宁桂静</t>
  </si>
  <si>
    <t>5186-20220929028</t>
  </si>
  <si>
    <t>切线爬坡损失</t>
  </si>
  <si>
    <t>爬坡（1-0.4）*186=111.6H</t>
  </si>
  <si>
    <t>A305</t>
  </si>
  <si>
    <t>孟祥过</t>
  </si>
  <si>
    <t>5186-20220928014</t>
  </si>
  <si>
    <t>爬坡（1-0.5）*273=136.5H</t>
  </si>
  <si>
    <t>A306</t>
  </si>
  <si>
    <t>邵鹏</t>
  </si>
  <si>
    <t>5186-20220924031</t>
  </si>
  <si>
    <t>爬坡（1-0.8）*532=106.4H</t>
  </si>
  <si>
    <t>A307</t>
  </si>
  <si>
    <t>孙媛媛</t>
  </si>
  <si>
    <t>新机型爬坡（1-0.45）*260=143H</t>
  </si>
  <si>
    <t>新机型爬坡（1-0.65）*260=91H</t>
  </si>
  <si>
    <t>A310</t>
  </si>
  <si>
    <t>石庆双</t>
  </si>
  <si>
    <t>5186-20220924032</t>
  </si>
  <si>
    <t>换口味40*8/60=5.3H</t>
  </si>
  <si>
    <t>A313</t>
  </si>
  <si>
    <t>全春霞</t>
  </si>
  <si>
    <t>5186-20220929025</t>
  </si>
  <si>
    <t>爬坡（1-0.7）*167.4=50.2H</t>
  </si>
  <si>
    <t>转线44*20/60=14.6H</t>
  </si>
  <si>
    <t>A314</t>
  </si>
  <si>
    <t>杨雪冬</t>
  </si>
  <si>
    <t>5186-20220929024</t>
  </si>
  <si>
    <t>爬坡（1-0.5）*192=96H</t>
  </si>
  <si>
    <t>B203</t>
  </si>
  <si>
    <t>张斌</t>
  </si>
  <si>
    <t>5186-20220917042</t>
  </si>
  <si>
    <t>换油8*36/60=4.8H</t>
  </si>
  <si>
    <t>B204</t>
  </si>
  <si>
    <t>段美林</t>
  </si>
  <si>
    <t>5186-20220928011</t>
  </si>
  <si>
    <t>排线培训35*2=70H</t>
  </si>
  <si>
    <t>切线爬坡（1-0.6）*315=126H</t>
  </si>
  <si>
    <t>B206</t>
  </si>
  <si>
    <t>张升怀</t>
  </si>
  <si>
    <t>5186-20220929005</t>
  </si>
  <si>
    <t>换口味35*25/60=14.6H</t>
  </si>
  <si>
    <t>5186-20220925012</t>
  </si>
  <si>
    <t>品质</t>
  </si>
  <si>
    <t>Rumin.李</t>
  </si>
  <si>
    <t>挡产</t>
  </si>
  <si>
    <t>来料色差2人24H</t>
  </si>
  <si>
    <t>B207</t>
  </si>
  <si>
    <t>5186-20220926010</t>
  </si>
  <si>
    <t>爬坡（1-0.9）*175=17.5H</t>
  </si>
  <si>
    <t>B209</t>
  </si>
  <si>
    <t>张龙龙</t>
  </si>
  <si>
    <t>5186-20220930012</t>
  </si>
  <si>
    <t>爬坡（1-0.45）*323=177.65H</t>
  </si>
  <si>
    <t>切线25*31/60=13H</t>
  </si>
  <si>
    <t>B211</t>
  </si>
  <si>
    <t>乔永秋</t>
  </si>
  <si>
    <t>5186-20220929007</t>
  </si>
  <si>
    <t>换口味38*8/60=5H</t>
  </si>
  <si>
    <t>B301</t>
  </si>
  <si>
    <t>邱草</t>
  </si>
  <si>
    <t>5186-20220928018</t>
  </si>
  <si>
    <t>爬坡（1-0.35）*283=183.95H</t>
  </si>
  <si>
    <t>新机型排线60*22/60=22H</t>
  </si>
  <si>
    <t>B302</t>
  </si>
  <si>
    <t>5186-20220929003</t>
  </si>
  <si>
    <t>夏鸿超</t>
  </si>
  <si>
    <t>挑选电池日期4人52H</t>
  </si>
  <si>
    <t>B306</t>
  </si>
  <si>
    <t>郭倩倩</t>
  </si>
  <si>
    <t>其他（外部门借调）</t>
  </si>
  <si>
    <t>借出品质1人13H</t>
  </si>
  <si>
    <t>工程</t>
  </si>
  <si>
    <t>肖冠</t>
  </si>
  <si>
    <t>借出工程1人13H</t>
  </si>
  <si>
    <t>5185-20221003001</t>
  </si>
  <si>
    <t>换线工时：23R*5*7次/60=13H</t>
  </si>
  <si>
    <t>5185-20220924051</t>
  </si>
  <si>
    <t>换线工时：11次*10*45R/60=82.5H</t>
  </si>
  <si>
    <t>5285-20220928021</t>
  </si>
  <si>
    <t>5185-20220926051</t>
  </si>
  <si>
    <t>换线工时：38R*6次*10/60=38H</t>
  </si>
  <si>
    <t>5185-20220923023</t>
  </si>
  <si>
    <t>换线工时：66R*10*2次/60=22H</t>
  </si>
  <si>
    <t>A301</t>
  </si>
  <si>
    <t>张俊岭</t>
  </si>
  <si>
    <t>5186-20221003014</t>
  </si>
  <si>
    <t>换线20*38/60=12.6H</t>
  </si>
  <si>
    <t>爬坡（1-0.7）*453.4=136.02H</t>
  </si>
  <si>
    <t>A302</t>
  </si>
  <si>
    <t>王嘉强</t>
  </si>
  <si>
    <t>5186-20221004022</t>
  </si>
  <si>
    <t>爬坡（1-0.7）*377.5=113.25H</t>
  </si>
  <si>
    <t>中试</t>
  </si>
  <si>
    <t>安云龙</t>
  </si>
  <si>
    <t>打AB胶1人11H</t>
  </si>
  <si>
    <t>5186-20220926031</t>
  </si>
  <si>
    <t>换口味8*42/60=5.6H</t>
  </si>
  <si>
    <t>咪头断线1人12H</t>
  </si>
  <si>
    <t>转线25*20/60=8.33H</t>
  </si>
  <si>
    <t>爬坡（1-0.5）*241.67=120.83H</t>
  </si>
  <si>
    <t>爬坡（1-0.5）*238=119H</t>
  </si>
  <si>
    <t>爬坡（1-0.9）*462.14=46.214H</t>
  </si>
  <si>
    <t>咪头断线2人24H</t>
  </si>
  <si>
    <t>换口味44*8/60=5.86H</t>
  </si>
  <si>
    <t>爬坡（1-0.5）*480=240H</t>
  </si>
  <si>
    <t>5186-20220928004</t>
  </si>
  <si>
    <t>换口味41*8/60=5.46H</t>
  </si>
  <si>
    <t>A312</t>
  </si>
  <si>
    <t>樊浩亮</t>
  </si>
  <si>
    <t>5186-20220923006</t>
  </si>
  <si>
    <t>爬坡（1-0.7）*438.78=131.634H</t>
  </si>
  <si>
    <t>5186-20220923043</t>
  </si>
  <si>
    <t>人事</t>
  </si>
  <si>
    <t>Curry.伍</t>
  </si>
  <si>
    <t>人事调查28人28H</t>
  </si>
  <si>
    <t>爬坡（1-0.8）*440=88H</t>
  </si>
  <si>
    <t>爬坡（1-0.7）*434=130H</t>
  </si>
  <si>
    <t>B201</t>
  </si>
  <si>
    <t>5186-20220930005</t>
  </si>
  <si>
    <t>换口味8*35/60=4.6H</t>
  </si>
  <si>
    <t>B202</t>
  </si>
  <si>
    <t>爬坡（1-0.35）*241=156.65H</t>
  </si>
  <si>
    <t>B205</t>
  </si>
  <si>
    <t>5186-20220926033</t>
  </si>
  <si>
    <t>换口味8*34/60=4.5H</t>
  </si>
  <si>
    <t>爬坡（1-0.7）*374=112.2H</t>
  </si>
  <si>
    <t>5186-20221004025</t>
  </si>
  <si>
    <t>换口味25*36/60=15H</t>
  </si>
  <si>
    <t>黄志鹏</t>
  </si>
  <si>
    <t>爬坡（1-0.6）*374=149.6H</t>
  </si>
  <si>
    <t>5186-20221004024</t>
  </si>
  <si>
    <t>爬坡（1-0.7）*270=81H</t>
  </si>
  <si>
    <t>换口味25*40/60=16.7H</t>
  </si>
  <si>
    <t>B210</t>
  </si>
  <si>
    <t>5186-20221004027</t>
  </si>
  <si>
    <t>爬坡（1-0.7）*363.5=109.05H</t>
  </si>
  <si>
    <t>排线培训33*2=66H</t>
  </si>
  <si>
    <t>来料异常挑选1人11H</t>
  </si>
  <si>
    <t>撒召凤</t>
  </si>
  <si>
    <t>5186-20221004012</t>
  </si>
  <si>
    <t>爬坡（1-0.6）*253=101.2H</t>
  </si>
  <si>
    <t>挑选电池日期4人44H</t>
  </si>
  <si>
    <t>5186-20221004026</t>
  </si>
  <si>
    <t>Duke.李</t>
  </si>
  <si>
    <t>新员工爬坡（1-0.4）*125.4H</t>
  </si>
  <si>
    <t>借出品质1人11H</t>
  </si>
  <si>
    <t>借出工程1人11H</t>
  </si>
  <si>
    <t>停线待料电池35*2=70H</t>
  </si>
  <si>
    <t>5186-20221004011</t>
  </si>
  <si>
    <t>换口味8*20/60=2.6H</t>
  </si>
  <si>
    <t>爬坡（1-0.5）*220=110H</t>
  </si>
  <si>
    <t>吴超</t>
  </si>
  <si>
    <t>5186-20220930009</t>
  </si>
  <si>
    <t>待料电池35人70H</t>
  </si>
  <si>
    <t>爬坡（1-0.8）*175=35H</t>
  </si>
  <si>
    <t>5186-20221005034</t>
  </si>
  <si>
    <t>San.周</t>
  </si>
  <si>
    <t>外壳来料色差挑选1人12H</t>
  </si>
  <si>
    <t>爬坡（1-0.8）*210=42H</t>
  </si>
  <si>
    <t>换口味25*37/60=15.4H</t>
  </si>
  <si>
    <t>5186-20221005036</t>
  </si>
  <si>
    <t>换口味8*37/60=4.9H</t>
  </si>
  <si>
    <t>爬坡（1-0.85）*367.3=55H</t>
  </si>
  <si>
    <t>5186-20221005035</t>
  </si>
  <si>
    <t>来料不良挑选1人11H</t>
  </si>
  <si>
    <t>爬坡（1-0.8）*396=79.2H</t>
  </si>
  <si>
    <t>5186-20220930014</t>
  </si>
  <si>
    <t>换口味37*8/60=5H</t>
  </si>
  <si>
    <t>新人爬坡（1-0.6）*209=83.6H</t>
  </si>
  <si>
    <t>5186-20221004014</t>
  </si>
  <si>
    <t>新机型爬坡（1-0.8）*239=47.8H</t>
  </si>
  <si>
    <t>5186-20220928007</t>
  </si>
  <si>
    <t>切线爬坡（100%-80%）*504=100.8H</t>
  </si>
  <si>
    <t>换口味=44*8/60=5.86H</t>
  </si>
  <si>
    <t>5186-20221006008</t>
  </si>
  <si>
    <t>紧急转线=44*45/60=33H</t>
  </si>
  <si>
    <t>谢巧凤</t>
  </si>
  <si>
    <t>欠料停线等待=45*47/60=35.25H</t>
  </si>
  <si>
    <t>爬坡（100%-80%）*482=96.4H</t>
  </si>
  <si>
    <t>5186-20221003021</t>
  </si>
  <si>
    <t>换口味=1*8/60*42=5.6H</t>
  </si>
  <si>
    <t>5186-20221004021</t>
  </si>
  <si>
    <t xml:space="preserve">爬坡（100%-60%）*242=96.8H </t>
  </si>
  <si>
    <t>5186-20221004006</t>
  </si>
  <si>
    <t>换口味=22*8/60=2.93H</t>
  </si>
  <si>
    <t>爬坡（100%-60%）*239.07=95.628H</t>
  </si>
  <si>
    <t>转线=42*20/60=14H</t>
  </si>
  <si>
    <t>5186-20220928003</t>
  </si>
  <si>
    <t>换口味=42*8/60=5.6H</t>
  </si>
  <si>
    <t>5186-20220928001</t>
  </si>
  <si>
    <t>5186-20220929013</t>
  </si>
  <si>
    <t>5186-20221004003</t>
  </si>
  <si>
    <t>新机型爬坡（1-0.60）*442=176.8H</t>
  </si>
  <si>
    <t>5186-20220928006</t>
  </si>
  <si>
    <t>换口味=43*8/60=5.73H</t>
  </si>
  <si>
    <t>5186-20221003019</t>
  </si>
  <si>
    <t>A311</t>
  </si>
  <si>
    <t>5186-20220923024</t>
  </si>
  <si>
    <t>转线=43*20/60=25.3H</t>
  </si>
  <si>
    <t>5186-20221005031</t>
  </si>
  <si>
    <t>换口味=43*8/60=5.7H</t>
  </si>
  <si>
    <t>5186-20220925008</t>
  </si>
  <si>
    <t>欠料停线=43*210/60=150.5H</t>
  </si>
  <si>
    <t>5186-20221004020</t>
  </si>
  <si>
    <t>换口味=45*8/60=6H</t>
  </si>
  <si>
    <t>5186-20220929016</t>
  </si>
  <si>
    <t>5186-20220929015</t>
  </si>
  <si>
    <t>爬坡（100%-80%)*493=98.6H</t>
  </si>
  <si>
    <t>5186-20221004002</t>
  </si>
  <si>
    <t>爬坡（100%-90%）*482=48.2H</t>
  </si>
  <si>
    <t>5186-20220929029</t>
  </si>
  <si>
    <t>换口味=8*44/60=5.8H</t>
  </si>
  <si>
    <t>祝圣</t>
  </si>
  <si>
    <t>ME调注油机异常=60*44/60=44H</t>
  </si>
  <si>
    <t>爬坡（100%-80%）*405.7=81.14H</t>
  </si>
  <si>
    <t>5185-20220925006</t>
  </si>
  <si>
    <t>换线工时：8次*10*34R/60=45.33H</t>
  </si>
  <si>
    <t>换线工时：24R*3次*10/60=12H</t>
  </si>
  <si>
    <t>5185-20220925009</t>
  </si>
  <si>
    <t>换线工时：39R*10*15次/60=97.5H</t>
  </si>
  <si>
    <t>A207</t>
  </si>
  <si>
    <t>5185-20220925007</t>
  </si>
  <si>
    <t>新线体排线：2H*23R=46H</t>
  </si>
  <si>
    <t>Betty.谢</t>
  </si>
  <si>
    <t>停线待料35*1.5=52.5H</t>
  </si>
  <si>
    <t>5186-20221004013</t>
  </si>
  <si>
    <t>爬坡（1-0.6）*240=96H</t>
  </si>
  <si>
    <t>5186-20221006003</t>
  </si>
  <si>
    <t>5186-20220909003</t>
  </si>
  <si>
    <t>停线待料35*2=70H</t>
  </si>
  <si>
    <t>换口味25*35/60=14.6H</t>
  </si>
  <si>
    <t>5186-20220923025</t>
  </si>
  <si>
    <t>5186-20221006001</t>
  </si>
  <si>
    <t>换口味8*35/60=4.7H</t>
  </si>
  <si>
    <t>爬坡（1-0.95）*357.3=18H</t>
  </si>
  <si>
    <t>5186-20221006002</t>
  </si>
  <si>
    <t>换口味36*25/60=15H</t>
  </si>
  <si>
    <t>爬坡（1-0.9）*267.5=26.75H</t>
  </si>
  <si>
    <t>荆奇</t>
  </si>
  <si>
    <t>注油机异常36人36H</t>
  </si>
  <si>
    <t>5186-20220930015</t>
  </si>
  <si>
    <t>换口味39*8/60=5H</t>
  </si>
  <si>
    <t>新员工爬坡（1-0.8）*224=44.8H</t>
  </si>
  <si>
    <t>5186-20220930010</t>
  </si>
  <si>
    <t>挑选电池日期4人32H</t>
  </si>
  <si>
    <t>借出品质1人12H</t>
  </si>
  <si>
    <t>借出工程1人12H</t>
  </si>
  <si>
    <t>5186-20221006006</t>
  </si>
  <si>
    <t>爬坡（1-0.4）*285=171H</t>
  </si>
  <si>
    <t>换口味=8/60*42=5.6H</t>
  </si>
  <si>
    <t>切线爬坡=（100%-90%）*495.9=49.59H</t>
  </si>
  <si>
    <t>5186-20221004023</t>
  </si>
  <si>
    <t>5186-20221006007</t>
  </si>
  <si>
    <t>紧急转线=45*45/60=33.75H</t>
  </si>
  <si>
    <t>打AB胶=2*12=24H</t>
  </si>
  <si>
    <t>爬坡（100%-90%）*461.25=46H</t>
  </si>
  <si>
    <t>5186-20221003023</t>
  </si>
  <si>
    <t>换口味=1*8/60*43=5.7H</t>
  </si>
  <si>
    <t>爬坡（100%-70%）*259.07=77.72H</t>
  </si>
  <si>
    <t>爬坡（100%-70%）*274.5=82.35H</t>
  </si>
  <si>
    <t>5186-20221003003</t>
  </si>
  <si>
    <t>5186-20221003004</t>
  </si>
  <si>
    <t>5186-20221004005</t>
  </si>
  <si>
    <t>销售</t>
  </si>
  <si>
    <t>韦克杰</t>
  </si>
  <si>
    <t>支援样机=4*12=48H</t>
  </si>
  <si>
    <t xml:space="preserve">爬坡（100%-70%)*594=178.2H </t>
  </si>
  <si>
    <t>5186-20221003002</t>
  </si>
  <si>
    <t>5186-20220929021</t>
  </si>
  <si>
    <t>换口味=38*8/60=3H</t>
  </si>
  <si>
    <t>5186-20220929020</t>
  </si>
  <si>
    <t>爬坡（100%-70%）*410.08=120H</t>
  </si>
  <si>
    <t>换口味=46*8/60=6.13H</t>
  </si>
  <si>
    <t>5186-20220919014</t>
  </si>
  <si>
    <t>爬坡（100%-90%）*445.61=44.56H</t>
  </si>
  <si>
    <t>5186-20221006009</t>
  </si>
  <si>
    <t>换口味=44*8/60=5.8H</t>
  </si>
  <si>
    <t>注油机异常调机=44*90/60=66H</t>
  </si>
  <si>
    <t>爬坡（100%-90%）*451.2=45.1H</t>
  </si>
  <si>
    <t>5185-20220925025</t>
  </si>
  <si>
    <t>换线工时：19R*5*20次/60=31.7H</t>
  </si>
  <si>
    <t>5185-20220923011</t>
  </si>
  <si>
    <t>换线工时：5R*5*14次/60=7H</t>
  </si>
  <si>
    <t>孙杰聪</t>
  </si>
  <si>
    <t>换线工时：29R*10*1次/60=4.83H</t>
  </si>
  <si>
    <t>A204</t>
  </si>
  <si>
    <t>左耀红</t>
  </si>
  <si>
    <t>5185-20220926034</t>
  </si>
  <si>
    <t>换线工时：36R*8次*10/60=48H</t>
  </si>
  <si>
    <t>5185-20220922030</t>
  </si>
  <si>
    <t>换线工时：23R*3次*10/60=11.5H</t>
  </si>
  <si>
    <t>5185-20220100513</t>
  </si>
  <si>
    <t>换线工时：14次*10*39R/=91H</t>
  </si>
  <si>
    <t>借出品质部1R*12=12H</t>
  </si>
  <si>
    <t>返工UD015:40R*4.25=170H</t>
  </si>
  <si>
    <t>5185-20220926007</t>
  </si>
  <si>
    <t>换线工时：3次*33R*10/60=16.5H</t>
  </si>
  <si>
    <t>5185-20221006004</t>
  </si>
  <si>
    <t>换线工时：8次*10*37R/60=49H</t>
  </si>
  <si>
    <t>责任部门</t>
  </si>
  <si>
    <t>损失工时</t>
  </si>
  <si>
    <t>总损失工时（H）</t>
  </si>
  <si>
    <t>总投入工时（不含间接人力）（H）</t>
  </si>
  <si>
    <t>各部门损失工时占总损失工时比值</t>
  </si>
  <si>
    <t>累计</t>
  </si>
  <si>
    <t>各部门损失工时占投产总工时比值</t>
  </si>
  <si>
    <t>主要体现的损失原因</t>
  </si>
  <si>
    <t xml:space="preserve"> </t>
  </si>
  <si>
    <t>待定</t>
  </si>
  <si>
    <t>研发</t>
  </si>
  <si>
    <t>生产</t>
  </si>
  <si>
    <t>ODM事业部</t>
  </si>
  <si>
    <t>行政</t>
  </si>
  <si>
    <t>烟油事业部</t>
  </si>
  <si>
    <t>GTM产品部</t>
  </si>
  <si>
    <t>自动化</t>
  </si>
</sst>
</file>

<file path=xl/styles.xml><?xml version="1.0" encoding="utf-8"?>
<styleSheet xmlns="http://schemas.openxmlformats.org/spreadsheetml/2006/main">
  <numFmts count="1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804]aaa;@"/>
    <numFmt numFmtId="178" formatCode="_ * #,##0.0_ ;_ * \-#,##0.0_ ;_ * &quot;-&quot;??_ ;_ @_ "/>
    <numFmt numFmtId="179" formatCode="0.00_);[Red]\(0.00\)"/>
    <numFmt numFmtId="180" formatCode="0.00_ "/>
    <numFmt numFmtId="181" formatCode="0_ "/>
    <numFmt numFmtId="182" formatCode="_ * #,##0_ ;_ * \-#,##0_ ;_ * &quot;-&quot;??_ ;_ @_ "/>
    <numFmt numFmtId="183" formatCode="m/d;@"/>
    <numFmt numFmtId="184" formatCode="[$-804]aaaa;@"/>
    <numFmt numFmtId="185" formatCode="#,##0_ "/>
    <numFmt numFmtId="186" formatCode="0.0%"/>
    <numFmt numFmtId="187" formatCode="#,##0.00_ "/>
  </numFmts>
  <fonts count="69">
    <font>
      <sz val="11"/>
      <color theme="1"/>
      <name val="宋体"/>
      <charset val="134"/>
      <scheme val="minor"/>
    </font>
    <font>
      <sz val="12"/>
      <color theme="1"/>
      <name val="宋体"/>
      <charset val="134"/>
      <scheme val="minor"/>
    </font>
    <font>
      <sz val="20"/>
      <color theme="1"/>
      <name val="宋体"/>
      <charset val="134"/>
      <scheme val="minor"/>
    </font>
    <font>
      <sz val="12"/>
      <name val="宋体"/>
      <charset val="134"/>
    </font>
    <font>
      <sz val="12"/>
      <name val="宋体"/>
      <charset val="134"/>
      <scheme val="minor"/>
    </font>
    <font>
      <sz val="12"/>
      <color theme="1"/>
      <name val="微软雅黑"/>
      <charset val="134"/>
    </font>
    <font>
      <sz val="12"/>
      <color rgb="FFFF0000"/>
      <name val="宋体"/>
      <charset val="134"/>
      <scheme val="minor"/>
    </font>
    <font>
      <sz val="14"/>
      <color theme="1"/>
      <name val="宋体"/>
      <charset val="134"/>
      <scheme val="minor"/>
    </font>
    <font>
      <sz val="12"/>
      <color rgb="FFFF0000"/>
      <name val="宋体"/>
      <charset val="134"/>
    </font>
    <font>
      <sz val="10"/>
      <color theme="1"/>
      <name val="宋体"/>
      <charset val="134"/>
      <scheme val="minor"/>
    </font>
    <font>
      <b/>
      <sz val="14"/>
      <color theme="1"/>
      <name val="宋体"/>
      <charset val="134"/>
      <scheme val="minor"/>
    </font>
    <font>
      <sz val="10"/>
      <color rgb="FFFF0000"/>
      <name val="宋体"/>
      <charset val="134"/>
      <scheme val="minor"/>
    </font>
    <font>
      <sz val="11"/>
      <color theme="1"/>
      <name val="Microsoft YaHei Light"/>
      <charset val="134"/>
    </font>
    <font>
      <sz val="11"/>
      <color indexed="10"/>
      <name val="Microsoft YaHei Light"/>
      <charset val="134"/>
    </font>
    <font>
      <b/>
      <sz val="11"/>
      <color theme="1"/>
      <name val="Microsoft YaHei Light"/>
      <charset val="134"/>
    </font>
    <font>
      <sz val="11"/>
      <name val="Microsoft YaHei Light"/>
      <charset val="134"/>
    </font>
    <font>
      <b/>
      <sz val="26"/>
      <color theme="1"/>
      <name val="Microsoft YaHei Light"/>
      <charset val="134"/>
    </font>
    <font>
      <b/>
      <sz val="11"/>
      <color rgb="FF000000"/>
      <name val="Microsoft YaHei Light"/>
      <charset val="134"/>
    </font>
    <font>
      <sz val="9"/>
      <name val="Microsoft YaHei Light"/>
      <charset val="134"/>
    </font>
    <font>
      <b/>
      <sz val="10"/>
      <color theme="1"/>
      <name val="Microsoft YaHei Light"/>
      <charset val="134"/>
    </font>
    <font>
      <sz val="10"/>
      <name val="Microsoft YaHei Light"/>
      <charset val="134"/>
    </font>
    <font>
      <b/>
      <sz val="10"/>
      <name val="Microsoft YaHei Light"/>
      <charset val="134"/>
    </font>
    <font>
      <b/>
      <sz val="10"/>
      <color rgb="FFFF0000"/>
      <name val="Microsoft YaHei Light"/>
      <charset val="134"/>
    </font>
    <font>
      <sz val="10"/>
      <color theme="1"/>
      <name val="Microsoft YaHei Light"/>
      <charset val="134"/>
    </font>
    <font>
      <b/>
      <sz val="9"/>
      <name val="Microsoft YaHei Light"/>
      <charset val="134"/>
    </font>
    <font>
      <sz val="10"/>
      <color rgb="FFFF0000"/>
      <name val="Microsoft YaHei Light"/>
      <charset val="134"/>
    </font>
    <font>
      <b/>
      <sz val="14"/>
      <name val="Microsoft YaHei Light"/>
      <charset val="134"/>
    </font>
    <font>
      <b/>
      <sz val="14"/>
      <color theme="1"/>
      <name val="Microsoft YaHei Light"/>
      <charset val="134"/>
    </font>
    <font>
      <b/>
      <sz val="26"/>
      <name val="Microsoft YaHei Light"/>
      <charset val="134"/>
    </font>
    <font>
      <b/>
      <sz val="10"/>
      <color indexed="10"/>
      <name val="Microsoft YaHei Light"/>
      <charset val="134"/>
    </font>
    <font>
      <b/>
      <sz val="11"/>
      <color indexed="8"/>
      <name val="Microsoft YaHei Light"/>
      <charset val="134"/>
    </font>
    <font>
      <sz val="11"/>
      <color rgb="FFFF0000"/>
      <name val="Microsoft YaHei Light"/>
      <charset val="134"/>
    </font>
    <font>
      <b/>
      <sz val="11"/>
      <color indexed="10"/>
      <name val="Microsoft YaHei Light"/>
      <charset val="134"/>
    </font>
    <font>
      <sz val="11"/>
      <color theme="1"/>
      <name val="宋体"/>
      <charset val="134"/>
    </font>
    <font>
      <b/>
      <sz val="18"/>
      <name val="新宋体"/>
      <charset val="134"/>
    </font>
    <font>
      <b/>
      <sz val="11"/>
      <color theme="1"/>
      <name val="宋体"/>
      <charset val="134"/>
    </font>
    <font>
      <b/>
      <sz val="11"/>
      <name val="宋体"/>
      <charset val="134"/>
    </font>
    <font>
      <b/>
      <sz val="10"/>
      <name val="宋体"/>
      <charset val="134"/>
      <scheme val="minor"/>
    </font>
    <font>
      <b/>
      <sz val="20"/>
      <color theme="1"/>
      <name val="宋体"/>
      <charset val="134"/>
    </font>
    <font>
      <sz val="11"/>
      <name val="宋体"/>
      <charset val="134"/>
    </font>
    <font>
      <sz val="11"/>
      <color rgb="FFFF0000"/>
      <name val="宋体"/>
      <charset val="134"/>
      <scheme val="minor"/>
    </font>
    <font>
      <b/>
      <sz val="12"/>
      <color theme="1"/>
      <name val="宋体"/>
      <charset val="134"/>
      <scheme val="minor"/>
    </font>
    <font>
      <sz val="11"/>
      <name val="宋体"/>
      <charset val="134"/>
      <scheme val="minor"/>
    </font>
    <font>
      <sz val="11"/>
      <name val="微软雅黑"/>
      <charset val="134"/>
    </font>
    <font>
      <b/>
      <sz val="10"/>
      <color theme="0"/>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微软雅黑"/>
      <charset val="134"/>
    </font>
    <font>
      <sz val="10"/>
      <name val="宋体"/>
      <charset val="134"/>
    </font>
    <font>
      <sz val="11"/>
      <color indexed="8"/>
      <name val="Microsoft YaHei Light"/>
      <charset val="134"/>
    </font>
    <font>
      <sz val="9"/>
      <name val="宋体"/>
      <charset val="134"/>
    </font>
    <font>
      <b/>
      <sz val="9"/>
      <name val="宋体"/>
      <charset val="134"/>
    </font>
  </fonts>
  <fills count="39">
    <fill>
      <patternFill patternType="none"/>
    </fill>
    <fill>
      <patternFill patternType="gray125"/>
    </fill>
    <fill>
      <patternFill patternType="solid">
        <fgColor theme="5" tint="0.799951170384838"/>
        <bgColor indexed="64"/>
      </patternFill>
    </fill>
    <fill>
      <patternFill patternType="solid">
        <fgColor theme="9" tint="0.799951170384838"/>
        <bgColor indexed="64"/>
      </patternFill>
    </fill>
    <fill>
      <patternFill patternType="solid">
        <fgColor rgb="FFFFFF00"/>
        <bgColor indexed="64"/>
      </patternFill>
    </fill>
    <fill>
      <patternFill patternType="solid">
        <fgColor theme="3" tint="0.599993896298105"/>
        <bgColor indexed="64"/>
      </patternFill>
    </fill>
    <fill>
      <patternFill patternType="solid">
        <fgColor theme="9" tint="0.799920651875362"/>
        <bgColor indexed="64"/>
      </patternFill>
    </fill>
    <fill>
      <patternFill patternType="solid">
        <fgColor rgb="FF0070C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right/>
      <top/>
      <bottom style="thin">
        <color theme="4" tint="0.399914548173467"/>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alignment vertical="center"/>
    </xf>
    <xf numFmtId="43" fontId="0" fillId="0" borderId="0" applyFont="0" applyFill="0" applyBorder="0" applyAlignment="0" applyProtection="0">
      <alignment vertical="center"/>
    </xf>
    <xf numFmtId="42" fontId="0" fillId="0" borderId="0" applyFont="0" applyFill="0" applyBorder="0" applyAlignment="0" applyProtection="0">
      <alignment vertical="center"/>
    </xf>
    <xf numFmtId="0" fontId="45" fillId="8" borderId="0" applyNumberFormat="0" applyBorder="0" applyAlignment="0" applyProtection="0">
      <alignment vertical="center"/>
    </xf>
    <xf numFmtId="0" fontId="46" fillId="9"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5" fillId="10" borderId="0" applyNumberFormat="0" applyBorder="0" applyAlignment="0" applyProtection="0">
      <alignment vertical="center"/>
    </xf>
    <xf numFmtId="0" fontId="47" fillId="11" borderId="0" applyNumberFormat="0" applyBorder="0" applyAlignment="0" applyProtection="0">
      <alignment vertical="center"/>
    </xf>
    <xf numFmtId="43" fontId="0" fillId="0" borderId="0" applyFont="0" applyFill="0" applyBorder="0" applyAlignment="0" applyProtection="0">
      <alignment vertical="center"/>
    </xf>
    <xf numFmtId="0" fontId="48" fillId="12" borderId="0" applyNumberFormat="0" applyBorder="0" applyAlignment="0" applyProtection="0">
      <alignment vertical="center"/>
    </xf>
    <xf numFmtId="0" fontId="49" fillId="0" borderId="0" applyNumberFormat="0" applyFill="0" applyBorder="0" applyAlignment="0" applyProtection="0">
      <alignment vertical="center"/>
    </xf>
    <xf numFmtId="9" fontId="0"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13" borderId="36" applyNumberFormat="0" applyFont="0" applyAlignment="0" applyProtection="0">
      <alignment vertical="center"/>
    </xf>
    <xf numFmtId="0" fontId="48" fillId="14" borderId="0" applyNumberFormat="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178" fontId="0" fillId="0" borderId="0"/>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37" applyNumberFormat="0" applyFill="0" applyAlignment="0" applyProtection="0">
      <alignment vertical="center"/>
    </xf>
    <xf numFmtId="0" fontId="56" fillId="0" borderId="37" applyNumberFormat="0" applyFill="0" applyAlignment="0" applyProtection="0">
      <alignment vertical="center"/>
    </xf>
    <xf numFmtId="43" fontId="0" fillId="0" borderId="0" applyFont="0" applyFill="0" applyBorder="0" applyAlignment="0" applyProtection="0">
      <alignment vertical="center"/>
    </xf>
    <xf numFmtId="0" fontId="48" fillId="15" borderId="0" applyNumberFormat="0" applyBorder="0" applyAlignment="0" applyProtection="0">
      <alignment vertical="center"/>
    </xf>
    <xf numFmtId="0" fontId="51" fillId="0" borderId="38" applyNumberFormat="0" applyFill="0" applyAlignment="0" applyProtection="0">
      <alignment vertical="center"/>
    </xf>
    <xf numFmtId="0" fontId="48" fillId="16" borderId="0" applyNumberFormat="0" applyBorder="0" applyAlignment="0" applyProtection="0">
      <alignment vertical="center"/>
    </xf>
    <xf numFmtId="0" fontId="57" fillId="17" borderId="39" applyNumberFormat="0" applyAlignment="0" applyProtection="0">
      <alignment vertical="center"/>
    </xf>
    <xf numFmtId="0" fontId="58" fillId="17" borderId="35" applyNumberFormat="0" applyAlignment="0" applyProtection="0">
      <alignment vertical="center"/>
    </xf>
    <xf numFmtId="0" fontId="59" fillId="18" borderId="40" applyNumberFormat="0" applyAlignment="0" applyProtection="0">
      <alignment vertical="center"/>
    </xf>
    <xf numFmtId="0" fontId="45" fillId="19" borderId="0" applyNumberFormat="0" applyBorder="0" applyAlignment="0" applyProtection="0">
      <alignment vertical="center"/>
    </xf>
    <xf numFmtId="0" fontId="48" fillId="20" borderId="0" applyNumberFormat="0" applyBorder="0" applyAlignment="0" applyProtection="0">
      <alignment vertical="center"/>
    </xf>
    <xf numFmtId="0" fontId="60" fillId="0" borderId="41" applyNumberFormat="0" applyFill="0" applyAlignment="0" applyProtection="0">
      <alignment vertical="center"/>
    </xf>
    <xf numFmtId="0" fontId="61" fillId="0" borderId="42" applyNumberFormat="0" applyFill="0" applyAlignment="0" applyProtection="0">
      <alignment vertical="center"/>
    </xf>
    <xf numFmtId="0" fontId="62" fillId="21" borderId="0" applyNumberFormat="0" applyBorder="0" applyAlignment="0" applyProtection="0">
      <alignment vertical="center"/>
    </xf>
    <xf numFmtId="0" fontId="63" fillId="22" borderId="0" applyNumberFormat="0" applyBorder="0" applyAlignment="0" applyProtection="0">
      <alignment vertical="center"/>
    </xf>
    <xf numFmtId="0" fontId="45" fillId="23" borderId="0" applyNumberFormat="0" applyBorder="0" applyAlignment="0" applyProtection="0">
      <alignment vertical="center"/>
    </xf>
    <xf numFmtId="0" fontId="48"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8" fillId="33" borderId="0" applyNumberFormat="0" applyBorder="0" applyAlignment="0" applyProtection="0">
      <alignment vertical="center"/>
    </xf>
    <xf numFmtId="0" fontId="0" fillId="0" borderId="0"/>
    <xf numFmtId="0" fontId="45" fillId="34" borderId="0" applyNumberFormat="0" applyBorder="0" applyAlignment="0" applyProtection="0">
      <alignment vertical="center"/>
    </xf>
    <xf numFmtId="0" fontId="48" fillId="35" borderId="0" applyNumberFormat="0" applyBorder="0" applyAlignment="0" applyProtection="0">
      <alignment vertical="center"/>
    </xf>
    <xf numFmtId="0" fontId="48" fillId="36" borderId="0" applyNumberFormat="0" applyBorder="0" applyAlignment="0" applyProtection="0">
      <alignment vertical="center"/>
    </xf>
    <xf numFmtId="0" fontId="45" fillId="37" borderId="0" applyNumberFormat="0" applyBorder="0" applyAlignment="0" applyProtection="0">
      <alignment vertical="center"/>
    </xf>
    <xf numFmtId="0" fontId="48" fillId="38"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64" fillId="0" borderId="0">
      <alignment vertical="center"/>
    </xf>
    <xf numFmtId="0" fontId="65" fillId="0" borderId="0"/>
  </cellStyleXfs>
  <cellXfs count="307">
    <xf numFmtId="0" fontId="0" fillId="0" borderId="0" xfId="0">
      <alignment vertical="center"/>
    </xf>
    <xf numFmtId="0" fontId="0" fillId="0" borderId="0" xfId="0" applyAlignment="1">
      <alignment horizontal="center"/>
    </xf>
    <xf numFmtId="0" fontId="1" fillId="0" borderId="0" xfId="0" applyFont="1" applyAlignment="1">
      <alignment horizontal="center"/>
    </xf>
    <xf numFmtId="176" fontId="1" fillId="0" borderId="0" xfId="0" applyNumberFormat="1" applyFont="1" applyAlignment="1">
      <alignment horizontal="center" vertical="center"/>
    </xf>
    <xf numFmtId="0" fontId="1" fillId="0" borderId="0" xfId="0" applyFont="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58" fontId="3" fillId="0" borderId="1" xfId="54" applyNumberFormat="1" applyFont="1" applyBorder="1" applyAlignment="1">
      <alignment horizontal="center" vertical="center"/>
    </xf>
    <xf numFmtId="0" fontId="4" fillId="0" borderId="1" xfId="54" applyFont="1" applyBorder="1" applyAlignment="1">
      <alignment horizontal="center" vertical="center"/>
    </xf>
    <xf numFmtId="0" fontId="1" fillId="0" borderId="4" xfId="0" applyFont="1" applyBorder="1" applyAlignment="1">
      <alignment horizontal="center" vertical="center"/>
    </xf>
    <xf numFmtId="179" fontId="1"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horizontal="center" vertical="center"/>
    </xf>
    <xf numFmtId="180" fontId="4" fillId="0" borderId="1" xfId="0" applyNumberFormat="1" applyFont="1" applyBorder="1" applyAlignment="1">
      <alignment horizontal="center" vertical="center"/>
    </xf>
    <xf numFmtId="0" fontId="4" fillId="0" borderId="1" xfId="0" applyFont="1" applyBorder="1" applyAlignment="1">
      <alignment horizontal="center"/>
    </xf>
    <xf numFmtId="179" fontId="4" fillId="0" borderId="5" xfId="0" applyNumberFormat="1" applyFont="1" applyBorder="1" applyAlignment="1">
      <alignment horizontal="center" vertical="center"/>
    </xf>
    <xf numFmtId="0" fontId="1" fillId="0" borderId="1" xfId="54" applyFont="1" applyBorder="1" applyAlignment="1">
      <alignment horizontal="center" vertical="center"/>
    </xf>
    <xf numFmtId="0" fontId="7" fillId="0" borderId="1" xfId="0" applyFont="1" applyBorder="1" applyAlignment="1">
      <alignment horizontal="center"/>
    </xf>
    <xf numFmtId="179" fontId="4" fillId="0" borderId="5" xfId="0" applyNumberFormat="1" applyFont="1" applyBorder="1" applyAlignment="1">
      <alignment horizontal="center" vertical="center" wrapText="1"/>
    </xf>
    <xf numFmtId="58" fontId="8" fillId="0" borderId="1" xfId="54" applyNumberFormat="1" applyFont="1" applyBorder="1" applyAlignment="1">
      <alignment horizontal="center" vertical="center"/>
    </xf>
    <xf numFmtId="180" fontId="6" fillId="0" borderId="1" xfId="0" applyNumberFormat="1"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applyAlignment="1">
      <alignment horizontal="center"/>
    </xf>
    <xf numFmtId="0" fontId="0" fillId="0" borderId="1" xfId="0" applyBorder="1" applyAlignment="1">
      <alignment horizontal="center" vertical="center"/>
    </xf>
    <xf numFmtId="58" fontId="8" fillId="0" borderId="2" xfId="54" applyNumberFormat="1" applyFont="1" applyBorder="1" applyAlignment="1">
      <alignment horizontal="center" vertical="center"/>
    </xf>
    <xf numFmtId="0" fontId="6" fillId="0" borderId="2" xfId="54" applyFont="1" applyBorder="1" applyAlignment="1">
      <alignment horizontal="center" vertical="center"/>
    </xf>
    <xf numFmtId="0" fontId="4" fillId="0" borderId="2" xfId="54" applyFont="1" applyBorder="1" applyAlignment="1">
      <alignment horizontal="center" vertical="center"/>
    </xf>
    <xf numFmtId="0" fontId="1" fillId="0" borderId="2" xfId="54" applyFont="1" applyBorder="1" applyAlignment="1">
      <alignment horizontal="center" vertical="center"/>
    </xf>
    <xf numFmtId="0" fontId="1" fillId="0" borderId="6" xfId="54" applyFont="1" applyBorder="1" applyAlignment="1">
      <alignment horizontal="center" vertical="center"/>
    </xf>
    <xf numFmtId="0" fontId="7" fillId="0" borderId="1" xfId="0" applyFont="1" applyBorder="1" applyAlignment="1">
      <alignment horizontal="center" vertical="center"/>
    </xf>
    <xf numFmtId="0" fontId="7" fillId="0" borderId="1" xfId="54" applyFont="1" applyBorder="1" applyAlignment="1">
      <alignment horizontal="center" vertical="center"/>
    </xf>
    <xf numFmtId="0" fontId="7"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10" fontId="7" fillId="0" borderId="1" xfId="12" applyNumberFormat="1" applyFont="1" applyFill="1" applyBorder="1" applyAlignment="1">
      <alignment horizontal="center" vertical="center"/>
    </xf>
    <xf numFmtId="10" fontId="1" fillId="0" borderId="4" xfId="0" applyNumberFormat="1" applyFont="1" applyBorder="1" applyAlignment="1">
      <alignment horizontal="center" vertical="center" wrapText="1"/>
    </xf>
    <xf numFmtId="180" fontId="4" fillId="0" borderId="0" xfId="0" applyNumberFormat="1" applyFont="1" applyAlignment="1">
      <alignment horizontal="center" vertical="center"/>
    </xf>
    <xf numFmtId="181" fontId="1" fillId="0" borderId="0" xfId="0" applyNumberFormat="1" applyFont="1" applyAlignment="1">
      <alignment horizontal="center" vertical="center"/>
    </xf>
    <xf numFmtId="180" fontId="1" fillId="0" borderId="0" xfId="0" applyNumberFormat="1" applyFont="1" applyAlignment="1">
      <alignment horizontal="center" vertical="center"/>
    </xf>
    <xf numFmtId="0" fontId="11" fillId="0" borderId="0" xfId="0" applyFont="1" applyAlignment="1">
      <alignment horizontal="center" vertical="center"/>
    </xf>
    <xf numFmtId="0" fontId="0" fillId="0" borderId="0" xfId="0" applyAlignment="1">
      <alignment horizontal="center" vertical="center"/>
    </xf>
    <xf numFmtId="10" fontId="1" fillId="0" borderId="3" xfId="0" applyNumberFormat="1" applyFont="1" applyBorder="1" applyAlignment="1">
      <alignment horizontal="center" vertical="center" wrapText="1"/>
    </xf>
    <xf numFmtId="0" fontId="7" fillId="0" borderId="0" xfId="0" applyFont="1" applyAlignment="1">
      <alignment horizontal="center" vertical="center"/>
    </xf>
    <xf numFmtId="176" fontId="1" fillId="0" borderId="0" xfId="0" applyNumberFormat="1" applyFont="1" applyAlignment="1">
      <alignment horizontal="center"/>
    </xf>
    <xf numFmtId="17" fontId="1" fillId="0" borderId="0" xfId="0" applyNumberFormat="1" applyFont="1" applyAlignment="1">
      <alignment horizontal="center" vertical="center"/>
    </xf>
    <xf numFmtId="181" fontId="1" fillId="0" borderId="7" xfId="0" applyNumberFormat="1" applyFont="1" applyBorder="1">
      <alignment vertical="center"/>
    </xf>
    <xf numFmtId="183" fontId="12" fillId="0" borderId="0" xfId="18" applyNumberFormat="1" applyFont="1" applyAlignment="1">
      <alignment horizontal="center" vertical="center"/>
    </xf>
    <xf numFmtId="0" fontId="12" fillId="0" borderId="0" xfId="0" applyFont="1" applyAlignment="1">
      <alignment horizontal="center" vertical="center"/>
    </xf>
    <xf numFmtId="177" fontId="13" fillId="0" borderId="0" xfId="18" applyNumberFormat="1" applyFont="1" applyAlignment="1">
      <alignment horizontal="center" vertical="center"/>
    </xf>
    <xf numFmtId="177" fontId="12" fillId="0" borderId="0" xfId="18" applyNumberFormat="1" applyFont="1"/>
    <xf numFmtId="177" fontId="12" fillId="0" borderId="0" xfId="18" applyNumberFormat="1" applyFont="1" applyProtection="1">
      <protection locked="0"/>
    </xf>
    <xf numFmtId="177" fontId="14" fillId="0" borderId="0" xfId="18" applyNumberFormat="1" applyFont="1" applyAlignment="1">
      <alignment horizontal="center"/>
    </xf>
    <xf numFmtId="177" fontId="12" fillId="0" borderId="0" xfId="18" applyNumberFormat="1" applyFont="1" applyAlignment="1">
      <alignment horizontal="center" vertical="center"/>
    </xf>
    <xf numFmtId="177" fontId="12" fillId="0" borderId="0" xfId="18" applyNumberFormat="1" applyFont="1" applyAlignment="1">
      <alignment horizontal="right" vertical="center"/>
    </xf>
    <xf numFmtId="177" fontId="14" fillId="0" borderId="0" xfId="18" applyNumberFormat="1" applyFont="1" applyAlignment="1">
      <alignment horizontal="right" vertical="center"/>
    </xf>
    <xf numFmtId="177" fontId="15" fillId="0" borderId="0" xfId="18" applyNumberFormat="1" applyFont="1" applyAlignment="1">
      <alignment horizontal="right" vertical="center"/>
    </xf>
    <xf numFmtId="177" fontId="16" fillId="0" borderId="0" xfId="18" applyNumberFormat="1" applyFont="1" applyAlignment="1" applyProtection="1">
      <alignment horizontal="left"/>
      <protection locked="0"/>
    </xf>
    <xf numFmtId="177" fontId="16" fillId="0" borderId="0" xfId="18" applyNumberFormat="1" applyFont="1" applyAlignment="1">
      <alignment horizontal="left"/>
    </xf>
    <xf numFmtId="177" fontId="16" fillId="0" borderId="0" xfId="18" applyNumberFormat="1" applyFont="1" applyAlignment="1">
      <alignment horizontal="center"/>
    </xf>
    <xf numFmtId="177" fontId="16" fillId="0" borderId="0" xfId="18" applyNumberFormat="1" applyFont="1" applyAlignment="1">
      <alignment horizontal="center" vertical="center"/>
    </xf>
    <xf numFmtId="177" fontId="16" fillId="0" borderId="0" xfId="18" applyNumberFormat="1" applyFont="1" applyAlignment="1">
      <alignment horizontal="right" vertical="center"/>
    </xf>
    <xf numFmtId="177" fontId="16" fillId="0" borderId="8" xfId="18" applyNumberFormat="1" applyFont="1" applyBorder="1" applyAlignment="1" applyProtection="1">
      <alignment horizontal="left"/>
      <protection locked="0"/>
    </xf>
    <xf numFmtId="177" fontId="16" fillId="0" borderId="9" xfId="18" applyNumberFormat="1" applyFont="1" applyBorder="1" applyAlignment="1">
      <alignment horizontal="left"/>
    </xf>
    <xf numFmtId="177" fontId="16" fillId="0" borderId="9" xfId="18" applyNumberFormat="1" applyFont="1" applyBorder="1" applyAlignment="1">
      <alignment horizontal="center"/>
    </xf>
    <xf numFmtId="177" fontId="16" fillId="0" borderId="9" xfId="18" applyNumberFormat="1" applyFont="1" applyBorder="1" applyAlignment="1">
      <alignment horizontal="center" vertical="center"/>
    </xf>
    <xf numFmtId="177" fontId="16" fillId="0" borderId="9" xfId="18" applyNumberFormat="1" applyFont="1" applyBorder="1" applyAlignment="1">
      <alignment horizontal="right" vertical="center"/>
    </xf>
    <xf numFmtId="177" fontId="16" fillId="2" borderId="9" xfId="18" applyNumberFormat="1" applyFont="1" applyFill="1" applyBorder="1" applyAlignment="1">
      <alignment horizontal="right" vertical="center"/>
    </xf>
    <xf numFmtId="177" fontId="12" fillId="0" borderId="0" xfId="18" applyNumberFormat="1" applyFont="1" applyAlignment="1">
      <alignment horizontal="left"/>
    </xf>
    <xf numFmtId="177" fontId="12" fillId="0" borderId="10" xfId="18" applyNumberFormat="1" applyFont="1" applyBorder="1" applyAlignment="1" applyProtection="1">
      <alignment horizontal="left" vertical="center"/>
      <protection locked="0"/>
    </xf>
    <xf numFmtId="177" fontId="12" fillId="0" borderId="11" xfId="18" applyNumberFormat="1" applyFont="1" applyBorder="1" applyAlignment="1">
      <alignment horizontal="left" vertical="center"/>
    </xf>
    <xf numFmtId="177" fontId="17" fillId="0" borderId="11" xfId="18" applyNumberFormat="1" applyFont="1" applyBorder="1" applyAlignment="1">
      <alignment horizontal="center" vertical="center"/>
    </xf>
    <xf numFmtId="177" fontId="14" fillId="0" borderId="11" xfId="18" applyNumberFormat="1" applyFont="1" applyBorder="1" applyAlignment="1">
      <alignment horizontal="center" vertical="center"/>
    </xf>
    <xf numFmtId="184" fontId="18" fillId="0" borderId="11" xfId="55" applyNumberFormat="1" applyFont="1" applyBorder="1" applyAlignment="1">
      <alignment horizontal="center" vertical="center"/>
    </xf>
    <xf numFmtId="184" fontId="18" fillId="2" borderId="11" xfId="55" applyNumberFormat="1" applyFont="1" applyFill="1" applyBorder="1" applyAlignment="1">
      <alignment horizontal="center" vertical="center"/>
    </xf>
    <xf numFmtId="183" fontId="12" fillId="0" borderId="0" xfId="18" applyNumberFormat="1" applyFont="1"/>
    <xf numFmtId="177" fontId="12" fillId="0" borderId="12" xfId="18" applyNumberFormat="1" applyFont="1" applyBorder="1" applyAlignment="1" applyProtection="1">
      <alignment horizontal="center" vertical="center"/>
      <protection locked="0"/>
    </xf>
    <xf numFmtId="177" fontId="12" fillId="0" borderId="13" xfId="18" applyNumberFormat="1" applyFont="1" applyBorder="1" applyAlignment="1">
      <alignment horizontal="center" vertical="center"/>
    </xf>
    <xf numFmtId="177" fontId="14" fillId="0" borderId="13" xfId="18" applyNumberFormat="1" applyFont="1" applyBorder="1" applyAlignment="1">
      <alignment horizontal="center" vertical="center"/>
    </xf>
    <xf numFmtId="183" fontId="15" fillId="0" borderId="13" xfId="18" applyNumberFormat="1" applyFont="1" applyBorder="1" applyAlignment="1">
      <alignment horizontal="center" vertical="center"/>
    </xf>
    <xf numFmtId="183" fontId="15" fillId="2" borderId="13" xfId="18" applyNumberFormat="1" applyFont="1" applyFill="1" applyBorder="1" applyAlignment="1">
      <alignment horizontal="center" vertical="center"/>
    </xf>
    <xf numFmtId="177" fontId="14" fillId="0" borderId="14" xfId="18" applyNumberFormat="1" applyFont="1" applyBorder="1" applyAlignment="1" applyProtection="1">
      <alignment horizontal="center" vertical="center" wrapText="1"/>
      <protection locked="0"/>
    </xf>
    <xf numFmtId="182" fontId="12" fillId="0" borderId="15" xfId="23" applyNumberFormat="1" applyFont="1" applyFill="1" applyBorder="1" applyAlignment="1"/>
    <xf numFmtId="182" fontId="19" fillId="0" borderId="11" xfId="23" applyNumberFormat="1" applyFont="1" applyFill="1" applyBorder="1" applyAlignment="1"/>
    <xf numFmtId="182" fontId="20" fillId="0" borderId="11" xfId="23" applyNumberFormat="1" applyFont="1" applyFill="1" applyBorder="1" applyAlignment="1">
      <alignment horizontal="right" vertical="center"/>
    </xf>
    <xf numFmtId="182" fontId="20" fillId="2" borderId="11" xfId="23" applyNumberFormat="1" applyFont="1" applyFill="1" applyBorder="1" applyAlignment="1">
      <alignment horizontal="right" vertical="center"/>
    </xf>
    <xf numFmtId="177" fontId="14" fillId="0" borderId="16" xfId="18" applyNumberFormat="1" applyFont="1" applyBorder="1" applyAlignment="1" applyProtection="1">
      <alignment horizontal="center" vertical="center" wrapText="1"/>
      <protection locked="0"/>
    </xf>
    <xf numFmtId="182" fontId="12" fillId="0" borderId="3" xfId="23" applyNumberFormat="1" applyFont="1" applyFill="1" applyBorder="1" applyAlignment="1"/>
    <xf numFmtId="182" fontId="19" fillId="0" borderId="1" xfId="23" applyNumberFormat="1" applyFont="1" applyFill="1" applyBorder="1" applyAlignment="1"/>
    <xf numFmtId="182" fontId="20" fillId="0" borderId="1" xfId="23" applyNumberFormat="1" applyFont="1" applyFill="1" applyBorder="1" applyAlignment="1">
      <alignment horizontal="right" vertical="center"/>
    </xf>
    <xf numFmtId="182" fontId="20" fillId="2" borderId="1" xfId="23" applyNumberFormat="1" applyFont="1" applyFill="1" applyBorder="1" applyAlignment="1">
      <alignment horizontal="right" vertical="center"/>
    </xf>
    <xf numFmtId="182" fontId="21" fillId="0" borderId="1" xfId="23" applyNumberFormat="1" applyFont="1" applyFill="1" applyBorder="1" applyAlignment="1">
      <alignment horizontal="right" vertical="center"/>
    </xf>
    <xf numFmtId="182" fontId="21" fillId="2" borderId="1" xfId="23" applyNumberFormat="1" applyFont="1" applyFill="1" applyBorder="1" applyAlignment="1">
      <alignment horizontal="right" vertical="center"/>
    </xf>
    <xf numFmtId="182" fontId="19" fillId="0" borderId="1" xfId="23" applyNumberFormat="1" applyFont="1" applyFill="1" applyBorder="1" applyAlignment="1">
      <alignment horizontal="center" vertical="center"/>
    </xf>
    <xf numFmtId="0" fontId="21" fillId="0" borderId="1" xfId="23" applyNumberFormat="1" applyFont="1" applyFill="1" applyBorder="1" applyAlignment="1">
      <alignment horizontal="center" vertical="center"/>
    </xf>
    <xf numFmtId="0" fontId="21" fillId="0" borderId="1" xfId="23" applyNumberFormat="1" applyFont="1" applyFill="1" applyBorder="1" applyAlignment="1">
      <alignment horizontal="right" vertical="center"/>
    </xf>
    <xf numFmtId="0" fontId="21" fillId="2" borderId="1" xfId="23" applyNumberFormat="1" applyFont="1" applyFill="1" applyBorder="1" applyAlignment="1">
      <alignment horizontal="right" vertical="center"/>
    </xf>
    <xf numFmtId="177" fontId="14" fillId="0" borderId="17" xfId="18" applyNumberFormat="1" applyFont="1" applyBorder="1" applyAlignment="1" applyProtection="1">
      <alignment horizontal="center" vertical="center" wrapText="1"/>
      <protection locked="0"/>
    </xf>
    <xf numFmtId="182" fontId="12" fillId="0" borderId="18" xfId="23" applyNumberFormat="1" applyFont="1" applyFill="1" applyBorder="1" applyAlignment="1"/>
    <xf numFmtId="10" fontId="19" fillId="0" borderId="13" xfId="23" applyNumberFormat="1" applyFont="1" applyFill="1" applyBorder="1" applyAlignment="1"/>
    <xf numFmtId="10" fontId="19" fillId="0" borderId="13" xfId="23" applyNumberFormat="1" applyFont="1" applyFill="1" applyBorder="1" applyAlignment="1">
      <alignment horizontal="right" vertical="center"/>
    </xf>
    <xf numFmtId="10" fontId="19" fillId="2" borderId="13" xfId="23" applyNumberFormat="1" applyFont="1" applyFill="1" applyBorder="1" applyAlignment="1">
      <alignment horizontal="right" vertical="center"/>
    </xf>
    <xf numFmtId="177" fontId="14" fillId="0" borderId="19" xfId="18" applyNumberFormat="1" applyFont="1" applyBorder="1" applyAlignment="1" applyProtection="1">
      <alignment horizontal="center" vertical="center" wrapText="1"/>
      <protection locked="0"/>
    </xf>
    <xf numFmtId="177" fontId="14" fillId="0" borderId="20" xfId="18" applyNumberFormat="1" applyFont="1" applyBorder="1" applyAlignment="1" applyProtection="1">
      <alignment horizontal="center" vertical="center" wrapText="1"/>
      <protection locked="0"/>
    </xf>
    <xf numFmtId="182" fontId="19" fillId="0" borderId="1" xfId="23" applyNumberFormat="1" applyFont="1" applyFill="1" applyBorder="1" applyAlignment="1">
      <alignment horizontal="center"/>
    </xf>
    <xf numFmtId="177" fontId="14" fillId="0" borderId="21" xfId="18" applyNumberFormat="1" applyFont="1" applyBorder="1" applyAlignment="1" applyProtection="1">
      <alignment horizontal="center" vertical="center" wrapText="1"/>
      <protection locked="0"/>
    </xf>
    <xf numFmtId="182" fontId="22" fillId="0" borderId="1" xfId="23" applyNumberFormat="1" applyFont="1" applyFill="1" applyBorder="1" applyAlignment="1">
      <alignment horizontal="center"/>
    </xf>
    <xf numFmtId="177" fontId="16" fillId="3" borderId="9" xfId="18" applyNumberFormat="1" applyFont="1" applyFill="1" applyBorder="1" applyAlignment="1">
      <alignment horizontal="right" vertical="center"/>
    </xf>
    <xf numFmtId="184" fontId="18" fillId="3" borderId="11" xfId="55" applyNumberFormat="1" applyFont="1" applyFill="1" applyBorder="1" applyAlignment="1">
      <alignment horizontal="center" vertical="center"/>
    </xf>
    <xf numFmtId="182" fontId="20" fillId="3" borderId="11" xfId="23" applyNumberFormat="1" applyFont="1" applyFill="1" applyBorder="1" applyAlignment="1">
      <alignment horizontal="right" vertical="center"/>
    </xf>
    <xf numFmtId="182" fontId="20" fillId="3" borderId="1" xfId="23" applyNumberFormat="1" applyFont="1" applyFill="1" applyBorder="1" applyAlignment="1">
      <alignment horizontal="right" vertical="center"/>
    </xf>
    <xf numFmtId="182" fontId="21" fillId="3" borderId="1" xfId="23" applyNumberFormat="1" applyFont="1" applyFill="1" applyBorder="1" applyAlignment="1">
      <alignment horizontal="right" vertical="center"/>
    </xf>
    <xf numFmtId="10" fontId="19" fillId="3" borderId="13" xfId="23" applyNumberFormat="1" applyFont="1" applyFill="1" applyBorder="1" applyAlignment="1">
      <alignment horizontal="right" vertical="center"/>
    </xf>
    <xf numFmtId="182" fontId="21" fillId="0" borderId="11" xfId="23" applyNumberFormat="1" applyFont="1" applyFill="1" applyBorder="1" applyAlignment="1">
      <alignment horizontal="right" vertical="center"/>
    </xf>
    <xf numFmtId="182" fontId="23" fillId="0" borderId="9" xfId="23" applyNumberFormat="1" applyFont="1" applyFill="1" applyBorder="1" applyAlignment="1">
      <alignment horizontal="right" vertical="center"/>
    </xf>
    <xf numFmtId="182" fontId="19" fillId="0" borderId="9" xfId="23" applyNumberFormat="1" applyFont="1" applyFill="1" applyBorder="1" applyAlignment="1">
      <alignment horizontal="right" vertical="center"/>
    </xf>
    <xf numFmtId="184" fontId="24" fillId="2" borderId="11" xfId="55" applyNumberFormat="1" applyFont="1" applyFill="1" applyBorder="1" applyAlignment="1">
      <alignment horizontal="center" vertical="center"/>
    </xf>
    <xf numFmtId="183" fontId="15" fillId="3" borderId="13" xfId="18" applyNumberFormat="1" applyFont="1" applyFill="1" applyBorder="1" applyAlignment="1">
      <alignment horizontal="center" vertical="center"/>
    </xf>
    <xf numFmtId="182" fontId="21" fillId="2" borderId="11" xfId="23" applyNumberFormat="1" applyFont="1" applyFill="1" applyBorder="1" applyAlignment="1">
      <alignment horizontal="right" vertical="center"/>
    </xf>
    <xf numFmtId="185" fontId="21" fillId="2" borderId="1" xfId="23" applyNumberFormat="1" applyFont="1" applyFill="1" applyBorder="1" applyAlignment="1">
      <alignment horizontal="right" vertical="center"/>
    </xf>
    <xf numFmtId="182" fontId="21" fillId="0" borderId="13" xfId="23" applyNumberFormat="1" applyFont="1" applyFill="1" applyBorder="1" applyAlignment="1">
      <alignment horizontal="right" vertical="center"/>
    </xf>
    <xf numFmtId="182" fontId="25" fillId="3" borderId="11" xfId="23" applyNumberFormat="1" applyFont="1" applyFill="1" applyBorder="1" applyAlignment="1">
      <alignment horizontal="right" vertical="center"/>
    </xf>
    <xf numFmtId="185" fontId="21" fillId="2" borderId="11" xfId="23" applyNumberFormat="1" applyFont="1" applyFill="1" applyBorder="1" applyAlignment="1">
      <alignment horizontal="right" vertical="center"/>
    </xf>
    <xf numFmtId="185" fontId="21" fillId="0" borderId="11" xfId="23" applyNumberFormat="1" applyFont="1" applyFill="1" applyBorder="1" applyAlignment="1">
      <alignment horizontal="right" vertical="center"/>
    </xf>
    <xf numFmtId="185" fontId="21" fillId="0" borderId="1" xfId="23" applyNumberFormat="1" applyFont="1" applyFill="1" applyBorder="1" applyAlignment="1">
      <alignment horizontal="right" vertical="center"/>
    </xf>
    <xf numFmtId="182" fontId="22" fillId="0" borderId="1" xfId="23" applyNumberFormat="1" applyFont="1" applyFill="1" applyBorder="1" applyAlignment="1">
      <alignment horizontal="right" vertical="center"/>
    </xf>
    <xf numFmtId="182" fontId="22" fillId="2" borderId="1" xfId="23" applyNumberFormat="1" applyFont="1" applyFill="1" applyBorder="1" applyAlignment="1">
      <alignment horizontal="right" vertical="center"/>
    </xf>
    <xf numFmtId="185" fontId="22" fillId="2" borderId="1" xfId="23" applyNumberFormat="1" applyFont="1" applyFill="1" applyBorder="1" applyAlignment="1">
      <alignment horizontal="right" vertical="center"/>
    </xf>
    <xf numFmtId="177" fontId="26" fillId="0" borderId="0" xfId="18" applyNumberFormat="1" applyFont="1" applyAlignment="1">
      <alignment horizontal="right" vertical="center"/>
    </xf>
    <xf numFmtId="9" fontId="26" fillId="0" borderId="0" xfId="12" applyFont="1" applyFill="1" applyBorder="1" applyAlignment="1" applyProtection="1">
      <alignment horizontal="right" vertical="center"/>
    </xf>
    <xf numFmtId="9" fontId="27" fillId="0" borderId="0" xfId="12" applyFont="1" applyFill="1" applyBorder="1" applyAlignment="1" applyProtection="1">
      <alignment horizontal="right" vertical="center"/>
    </xf>
    <xf numFmtId="182" fontId="20" fillId="0" borderId="9" xfId="23" applyNumberFormat="1" applyFont="1" applyFill="1" applyBorder="1" applyAlignment="1">
      <alignment horizontal="right" vertical="center"/>
    </xf>
    <xf numFmtId="177" fontId="28" fillId="0" borderId="9" xfId="18" applyNumberFormat="1" applyFont="1" applyBorder="1" applyAlignment="1">
      <alignment horizontal="right" vertical="center"/>
    </xf>
    <xf numFmtId="182" fontId="20" fillId="0" borderId="22" xfId="23" applyNumberFormat="1" applyFont="1" applyFill="1" applyBorder="1" applyAlignment="1">
      <alignment horizontal="right" vertical="center"/>
    </xf>
    <xf numFmtId="182" fontId="20" fillId="0" borderId="4" xfId="23" applyNumberFormat="1" applyFont="1" applyFill="1" applyBorder="1" applyAlignment="1">
      <alignment horizontal="right" vertical="center"/>
    </xf>
    <xf numFmtId="182" fontId="21" fillId="0" borderId="4" xfId="23" applyNumberFormat="1" applyFont="1" applyFill="1" applyBorder="1" applyAlignment="1">
      <alignment horizontal="right" vertical="center"/>
    </xf>
    <xf numFmtId="182" fontId="29" fillId="2" borderId="1" xfId="23" applyNumberFormat="1" applyFont="1" applyFill="1" applyBorder="1" applyAlignment="1">
      <alignment horizontal="right" vertical="center"/>
    </xf>
    <xf numFmtId="10" fontId="19" fillId="0" borderId="23" xfId="23" applyNumberFormat="1" applyFont="1" applyFill="1" applyBorder="1" applyAlignment="1">
      <alignment horizontal="right" vertical="center"/>
    </xf>
    <xf numFmtId="10" fontId="21" fillId="0" borderId="13" xfId="23" applyNumberFormat="1" applyFont="1" applyFill="1" applyBorder="1" applyAlignment="1">
      <alignment horizontal="right" vertical="center"/>
    </xf>
    <xf numFmtId="182" fontId="22" fillId="2" borderId="11" xfId="23" applyNumberFormat="1" applyFont="1" applyFill="1" applyBorder="1" applyAlignment="1">
      <alignment horizontal="right" vertical="center"/>
    </xf>
    <xf numFmtId="182" fontId="22" fillId="0" borderId="11" xfId="23" applyNumberFormat="1" applyFont="1" applyFill="1" applyBorder="1" applyAlignment="1">
      <alignment horizontal="right" vertical="center"/>
    </xf>
    <xf numFmtId="182" fontId="22" fillId="0" borderId="22" xfId="23" applyNumberFormat="1" applyFont="1" applyFill="1" applyBorder="1" applyAlignment="1">
      <alignment horizontal="right" vertical="center"/>
    </xf>
    <xf numFmtId="185" fontId="22" fillId="0" borderId="1" xfId="23" applyNumberFormat="1" applyFont="1" applyFill="1" applyBorder="1" applyAlignment="1">
      <alignment horizontal="right" vertical="center"/>
    </xf>
    <xf numFmtId="177" fontId="12" fillId="0" borderId="9" xfId="18" applyNumberFormat="1" applyFont="1" applyBorder="1" applyAlignment="1">
      <alignment horizontal="right" vertical="center"/>
    </xf>
    <xf numFmtId="177" fontId="12" fillId="0" borderId="24" xfId="18" applyNumberFormat="1" applyFont="1" applyBorder="1" applyAlignment="1">
      <alignment horizontal="right" vertical="center"/>
    </xf>
    <xf numFmtId="177" fontId="12" fillId="0" borderId="25" xfId="18" applyNumberFormat="1" applyFont="1" applyBorder="1" applyAlignment="1">
      <alignment horizontal="right" vertical="center"/>
    </xf>
    <xf numFmtId="184" fontId="18" fillId="0" borderId="22" xfId="55" applyNumberFormat="1" applyFont="1" applyBorder="1" applyAlignment="1">
      <alignment horizontal="center" vertical="center"/>
    </xf>
    <xf numFmtId="184" fontId="18" fillId="2" borderId="26" xfId="55" applyNumberFormat="1" applyFont="1" applyFill="1" applyBorder="1" applyAlignment="1">
      <alignment horizontal="center" vertical="center"/>
    </xf>
    <xf numFmtId="182" fontId="20" fillId="2" borderId="26" xfId="23" applyNumberFormat="1" applyFont="1" applyFill="1" applyBorder="1" applyAlignment="1">
      <alignment horizontal="right" vertical="center"/>
    </xf>
    <xf numFmtId="182" fontId="20" fillId="2" borderId="27" xfId="23" applyNumberFormat="1" applyFont="1" applyFill="1" applyBorder="1" applyAlignment="1">
      <alignment horizontal="right" vertical="center"/>
    </xf>
    <xf numFmtId="182" fontId="21" fillId="2" borderId="27" xfId="23" applyNumberFormat="1" applyFont="1" applyFill="1" applyBorder="1" applyAlignment="1">
      <alignment horizontal="right" vertical="center"/>
    </xf>
    <xf numFmtId="182" fontId="21" fillId="0" borderId="23" xfId="23" applyNumberFormat="1" applyFont="1" applyFill="1" applyBorder="1" applyAlignment="1">
      <alignment horizontal="right" vertical="center"/>
    </xf>
    <xf numFmtId="182" fontId="21" fillId="2" borderId="28" xfId="23" applyNumberFormat="1" applyFont="1" applyFill="1" applyBorder="1" applyAlignment="1">
      <alignment horizontal="right" vertical="center"/>
    </xf>
    <xf numFmtId="182" fontId="21" fillId="0" borderId="22" xfId="23" applyNumberFormat="1" applyFont="1" applyFill="1" applyBorder="1" applyAlignment="1">
      <alignment horizontal="right" vertical="center"/>
    </xf>
    <xf numFmtId="182" fontId="21" fillId="2" borderId="26" xfId="23" applyNumberFormat="1" applyFont="1" applyFill="1" applyBorder="1" applyAlignment="1">
      <alignment horizontal="right" vertical="center"/>
    </xf>
    <xf numFmtId="182" fontId="29" fillId="0" borderId="1" xfId="23" applyNumberFormat="1" applyFont="1" applyFill="1" applyBorder="1" applyAlignment="1">
      <alignment horizontal="right" vertical="center"/>
    </xf>
    <xf numFmtId="177" fontId="14" fillId="0" borderId="19" xfId="18" applyNumberFormat="1" applyFont="1" applyBorder="1" applyAlignment="1" applyProtection="1">
      <alignment horizontal="center" vertical="center"/>
      <protection locked="0"/>
    </xf>
    <xf numFmtId="177" fontId="14" fillId="0" borderId="20" xfId="18" applyNumberFormat="1" applyFont="1" applyBorder="1" applyAlignment="1" applyProtection="1">
      <alignment horizontal="center" vertical="center"/>
      <protection locked="0"/>
    </xf>
    <xf numFmtId="177" fontId="14" fillId="0" borderId="16" xfId="18" applyNumberFormat="1" applyFont="1" applyBorder="1" applyAlignment="1" applyProtection="1">
      <alignment horizontal="center" vertical="center"/>
      <protection locked="0"/>
    </xf>
    <xf numFmtId="0" fontId="21" fillId="3" borderId="1" xfId="23" applyNumberFormat="1" applyFont="1" applyFill="1" applyBorder="1" applyAlignment="1">
      <alignment horizontal="right" vertical="center"/>
    </xf>
    <xf numFmtId="177" fontId="14" fillId="0" borderId="21" xfId="18" applyNumberFormat="1" applyFont="1" applyBorder="1" applyAlignment="1" applyProtection="1">
      <alignment horizontal="center" vertical="center"/>
      <protection locked="0"/>
    </xf>
    <xf numFmtId="185" fontId="20" fillId="2" borderId="11" xfId="23" applyNumberFormat="1" applyFont="1" applyFill="1" applyBorder="1" applyAlignment="1">
      <alignment horizontal="right" vertical="center"/>
    </xf>
    <xf numFmtId="182" fontId="21" fillId="4" borderId="1" xfId="23" applyNumberFormat="1" applyFont="1" applyFill="1" applyBorder="1" applyAlignment="1">
      <alignment horizontal="right" vertical="center"/>
    </xf>
    <xf numFmtId="182" fontId="25" fillId="2" borderId="11" xfId="23" applyNumberFormat="1" applyFont="1" applyFill="1" applyBorder="1" applyAlignment="1">
      <alignment horizontal="right" vertical="center"/>
    </xf>
    <xf numFmtId="182" fontId="25" fillId="0" borderId="11" xfId="23" applyNumberFormat="1" applyFont="1" applyFill="1" applyBorder="1" applyAlignment="1">
      <alignment horizontal="right" vertical="center"/>
    </xf>
    <xf numFmtId="182" fontId="25" fillId="4" borderId="11" xfId="23" applyNumberFormat="1" applyFont="1" applyFill="1" applyBorder="1" applyAlignment="1">
      <alignment horizontal="right" vertical="center"/>
    </xf>
    <xf numFmtId="185" fontId="21" fillId="4" borderId="1" xfId="23" applyNumberFormat="1" applyFont="1" applyFill="1" applyBorder="1" applyAlignment="1">
      <alignment horizontal="right" vertical="center"/>
    </xf>
    <xf numFmtId="10" fontId="19" fillId="0" borderId="11" xfId="23" applyNumberFormat="1" applyFont="1" applyFill="1" applyBorder="1" applyAlignment="1">
      <alignment horizontal="right" vertical="center"/>
    </xf>
    <xf numFmtId="10" fontId="19" fillId="2" borderId="11" xfId="23" applyNumberFormat="1" applyFont="1" applyFill="1" applyBorder="1" applyAlignment="1">
      <alignment horizontal="right" vertical="center"/>
    </xf>
    <xf numFmtId="10" fontId="19" fillId="0" borderId="1" xfId="23" applyNumberFormat="1" applyFont="1" applyFill="1" applyBorder="1" applyAlignment="1">
      <alignment horizontal="right" vertical="center"/>
    </xf>
    <xf numFmtId="10" fontId="19" fillId="2" borderId="1" xfId="23" applyNumberFormat="1" applyFont="1" applyFill="1" applyBorder="1" applyAlignment="1">
      <alignment horizontal="right" vertical="center"/>
    </xf>
    <xf numFmtId="10" fontId="19" fillId="3" borderId="11" xfId="23" applyNumberFormat="1" applyFont="1" applyFill="1" applyBorder="1" applyAlignment="1">
      <alignment horizontal="right" vertical="center"/>
    </xf>
    <xf numFmtId="10" fontId="19" fillId="3" borderId="1" xfId="23" applyNumberFormat="1" applyFont="1" applyFill="1" applyBorder="1" applyAlignment="1">
      <alignment horizontal="right" vertical="center"/>
    </xf>
    <xf numFmtId="10" fontId="21" fillId="2" borderId="13" xfId="23" applyNumberFormat="1" applyFont="1" applyFill="1" applyBorder="1" applyAlignment="1">
      <alignment horizontal="right" vertical="center"/>
    </xf>
    <xf numFmtId="182" fontId="22" fillId="0" borderId="4" xfId="23" applyNumberFormat="1" applyFont="1" applyFill="1" applyBorder="1" applyAlignment="1">
      <alignment horizontal="right" vertical="center"/>
    </xf>
    <xf numFmtId="185" fontId="21" fillId="3" borderId="11" xfId="23" applyNumberFormat="1" applyFont="1" applyFill="1" applyBorder="1" applyAlignment="1">
      <alignment horizontal="right" vertical="center"/>
    </xf>
    <xf numFmtId="185" fontId="22" fillId="0" borderId="11" xfId="23" applyNumberFormat="1" applyFont="1" applyFill="1" applyBorder="1" applyAlignment="1">
      <alignment horizontal="right" vertical="center"/>
    </xf>
    <xf numFmtId="182" fontId="21" fillId="3" borderId="11" xfId="23" applyNumberFormat="1" applyFont="1" applyFill="1" applyBorder="1" applyAlignment="1">
      <alignment horizontal="right" vertical="center"/>
    </xf>
    <xf numFmtId="9" fontId="21" fillId="0" borderId="1" xfId="12" applyFont="1" applyFill="1" applyBorder="1" applyAlignment="1">
      <alignment horizontal="right" vertical="center"/>
    </xf>
    <xf numFmtId="9" fontId="21" fillId="2" borderId="1" xfId="12" applyFont="1" applyFill="1" applyBorder="1" applyAlignment="1">
      <alignment horizontal="right" vertical="center"/>
    </xf>
    <xf numFmtId="10" fontId="22" fillId="0" borderId="13" xfId="23" applyNumberFormat="1" applyFont="1" applyFill="1" applyBorder="1" applyAlignment="1">
      <alignment horizontal="right" vertical="center"/>
    </xf>
    <xf numFmtId="182" fontId="20" fillId="4" borderId="11" xfId="23" applyNumberFormat="1" applyFont="1" applyFill="1" applyBorder="1" applyAlignment="1">
      <alignment horizontal="right" vertical="center"/>
    </xf>
    <xf numFmtId="182" fontId="25" fillId="0" borderId="22" xfId="23" applyNumberFormat="1" applyFont="1" applyFill="1" applyBorder="1" applyAlignment="1">
      <alignment horizontal="right" vertical="center"/>
    </xf>
    <xf numFmtId="185" fontId="21" fillId="3" borderId="1" xfId="23" applyNumberFormat="1" applyFont="1" applyFill="1" applyBorder="1" applyAlignment="1">
      <alignment horizontal="right" vertical="center"/>
    </xf>
    <xf numFmtId="185" fontId="21" fillId="0" borderId="13" xfId="23" applyNumberFormat="1" applyFont="1" applyFill="1" applyBorder="1" applyAlignment="1">
      <alignment horizontal="right" vertical="center"/>
    </xf>
    <xf numFmtId="182" fontId="21" fillId="4" borderId="22" xfId="23" applyNumberFormat="1" applyFont="1" applyFill="1" applyBorder="1" applyAlignment="1">
      <alignment horizontal="right" vertical="center"/>
    </xf>
    <xf numFmtId="182" fontId="22" fillId="4" borderId="22" xfId="23" applyNumberFormat="1" applyFont="1" applyFill="1" applyBorder="1" applyAlignment="1">
      <alignment horizontal="right" vertical="center"/>
    </xf>
    <xf numFmtId="0" fontId="12" fillId="0" borderId="0" xfId="0" applyFont="1" applyAlignment="1"/>
    <xf numFmtId="9" fontId="21" fillId="0" borderId="13" xfId="12" applyFont="1" applyFill="1" applyBorder="1" applyAlignment="1">
      <alignment horizontal="right" vertical="center"/>
    </xf>
    <xf numFmtId="9" fontId="21" fillId="2" borderId="13" xfId="12" applyFont="1" applyFill="1" applyBorder="1" applyAlignment="1">
      <alignment horizontal="right" vertical="center"/>
    </xf>
    <xf numFmtId="182" fontId="29" fillId="0" borderId="4" xfId="23" applyNumberFormat="1" applyFont="1" applyFill="1" applyBorder="1" applyAlignment="1">
      <alignment horizontal="right" vertical="center"/>
    </xf>
    <xf numFmtId="10" fontId="19" fillId="2" borderId="28" xfId="23" applyNumberFormat="1" applyFont="1" applyFill="1" applyBorder="1" applyAlignment="1">
      <alignment horizontal="right" vertical="center"/>
    </xf>
    <xf numFmtId="182" fontId="21" fillId="0" borderId="1" xfId="23" applyNumberFormat="1" applyFont="1" applyFill="1" applyBorder="1" applyAlignment="1">
      <alignment horizontal="center" vertical="center"/>
    </xf>
    <xf numFmtId="182" fontId="12" fillId="0" borderId="29" xfId="23" applyNumberFormat="1" applyFont="1" applyFill="1" applyBorder="1" applyAlignment="1"/>
    <xf numFmtId="10" fontId="19" fillId="0" borderId="30" xfId="23" applyNumberFormat="1" applyFont="1" applyFill="1" applyBorder="1" applyAlignment="1"/>
    <xf numFmtId="182" fontId="19" fillId="0" borderId="30" xfId="23" applyNumberFormat="1" applyFont="1" applyFill="1" applyBorder="1" applyAlignment="1"/>
    <xf numFmtId="10" fontId="19" fillId="0" borderId="30" xfId="23" applyNumberFormat="1" applyFont="1" applyFill="1" applyBorder="1" applyAlignment="1">
      <alignment horizontal="right" vertical="center"/>
    </xf>
    <xf numFmtId="10" fontId="19" fillId="2" borderId="30" xfId="23" applyNumberFormat="1" applyFont="1" applyFill="1" applyBorder="1" applyAlignment="1">
      <alignment horizontal="right" vertical="center"/>
    </xf>
    <xf numFmtId="182" fontId="30" fillId="0" borderId="14" xfId="1" applyNumberFormat="1" applyFont="1" applyFill="1" applyBorder="1" applyAlignment="1" applyProtection="1">
      <alignment horizontal="center" vertical="center" wrapText="1"/>
      <protection locked="0"/>
    </xf>
    <xf numFmtId="182" fontId="14" fillId="0" borderId="15" xfId="1" applyNumberFormat="1" applyFont="1" applyFill="1" applyBorder="1" applyAlignment="1"/>
    <xf numFmtId="182" fontId="19" fillId="0" borderId="11" xfId="1" applyNumberFormat="1" applyFont="1" applyFill="1" applyBorder="1" applyAlignment="1"/>
    <xf numFmtId="182" fontId="19" fillId="0" borderId="11" xfId="1" applyNumberFormat="1" applyFont="1" applyFill="1" applyBorder="1" applyAlignment="1">
      <alignment horizontal="right" vertical="center"/>
    </xf>
    <xf numFmtId="182" fontId="19" fillId="2" borderId="11" xfId="1" applyNumberFormat="1" applyFont="1" applyFill="1" applyBorder="1" applyAlignment="1">
      <alignment horizontal="right" vertical="center"/>
    </xf>
    <xf numFmtId="182" fontId="14" fillId="0" borderId="16" xfId="1" applyNumberFormat="1" applyFont="1" applyFill="1" applyBorder="1" applyAlignment="1" applyProtection="1">
      <alignment horizontal="center" vertical="center" wrapText="1"/>
      <protection locked="0"/>
    </xf>
    <xf numFmtId="182" fontId="14" fillId="0" borderId="3" xfId="1" applyNumberFormat="1" applyFont="1" applyFill="1" applyBorder="1" applyAlignment="1"/>
    <xf numFmtId="182" fontId="19" fillId="0" borderId="1" xfId="1" applyNumberFormat="1" applyFont="1" applyFill="1" applyBorder="1" applyAlignment="1"/>
    <xf numFmtId="182" fontId="19" fillId="0" borderId="1" xfId="1" applyNumberFormat="1" applyFont="1" applyFill="1" applyBorder="1" applyAlignment="1">
      <alignment horizontal="right" vertical="center"/>
    </xf>
    <xf numFmtId="182" fontId="19" fillId="2" borderId="1" xfId="1" applyNumberFormat="1" applyFont="1" applyFill="1" applyBorder="1" applyAlignment="1">
      <alignment horizontal="right" vertical="center"/>
    </xf>
    <xf numFmtId="177" fontId="31" fillId="0" borderId="0" xfId="18" applyNumberFormat="1" applyFont="1"/>
    <xf numFmtId="182" fontId="32" fillId="0" borderId="16" xfId="1" applyNumberFormat="1" applyFont="1" applyFill="1" applyBorder="1" applyAlignment="1" applyProtection="1">
      <alignment horizontal="center" vertical="center" wrapText="1"/>
      <protection locked="0"/>
    </xf>
    <xf numFmtId="182" fontId="13" fillId="0" borderId="3" xfId="23" applyNumberFormat="1" applyFont="1" applyFill="1" applyBorder="1" applyAlignment="1"/>
    <xf numFmtId="182" fontId="29" fillId="0" borderId="1" xfId="1" applyNumberFormat="1" applyFont="1" applyFill="1" applyBorder="1" applyAlignment="1"/>
    <xf numFmtId="182" fontId="29" fillId="0" borderId="1" xfId="1" applyNumberFormat="1" applyFont="1" applyFill="1" applyBorder="1" applyAlignment="1">
      <alignment horizontal="center"/>
    </xf>
    <xf numFmtId="182" fontId="29" fillId="0" borderId="1" xfId="23" applyNumberFormat="1" applyFont="1" applyFill="1" applyBorder="1" applyAlignment="1">
      <alignment horizontal="center" vertical="center"/>
    </xf>
    <xf numFmtId="182" fontId="29" fillId="2" borderId="1" xfId="23" applyNumberFormat="1" applyFont="1" applyFill="1" applyBorder="1" applyAlignment="1">
      <alignment horizontal="center" vertical="center"/>
    </xf>
    <xf numFmtId="182" fontId="14" fillId="0" borderId="17" xfId="1" applyNumberFormat="1" applyFont="1" applyFill="1" applyBorder="1" applyAlignment="1" applyProtection="1">
      <alignment horizontal="center" vertical="center" wrapText="1"/>
      <protection locked="0"/>
    </xf>
    <xf numFmtId="182" fontId="19" fillId="0" borderId="13" xfId="1" applyNumberFormat="1" applyFont="1" applyFill="1" applyBorder="1" applyAlignment="1"/>
    <xf numFmtId="182" fontId="21" fillId="2" borderId="13" xfId="23" applyNumberFormat="1" applyFont="1" applyFill="1" applyBorder="1" applyAlignment="1">
      <alignment horizontal="right" vertical="center"/>
    </xf>
    <xf numFmtId="182" fontId="14" fillId="0" borderId="20" xfId="1" applyNumberFormat="1" applyFont="1" applyFill="1" applyBorder="1" applyAlignment="1" applyProtection="1">
      <alignment horizontal="center" vertical="center" wrapText="1"/>
      <protection locked="0"/>
    </xf>
    <xf numFmtId="186" fontId="19" fillId="0" borderId="30" xfId="23" applyNumberFormat="1" applyFont="1" applyFill="1" applyBorder="1" applyAlignment="1">
      <alignment horizontal="right" vertical="center"/>
    </xf>
    <xf numFmtId="177" fontId="12" fillId="0" borderId="0" xfId="18" applyNumberFormat="1" applyFont="1" applyAlignment="1">
      <alignment horizontal="left" vertical="center"/>
    </xf>
    <xf numFmtId="0" fontId="12" fillId="0" borderId="0" xfId="18" applyNumberFormat="1" applyFont="1" applyAlignment="1">
      <alignment horizontal="right" vertical="center"/>
    </xf>
    <xf numFmtId="177" fontId="12" fillId="0" borderId="0" xfId="18" applyNumberFormat="1" applyFont="1" applyAlignment="1" applyProtection="1">
      <alignment horizontal="left"/>
      <protection locked="0"/>
    </xf>
    <xf numFmtId="9" fontId="12" fillId="0" borderId="0" xfId="18" applyNumberFormat="1" applyFont="1" applyAlignment="1">
      <alignment horizontal="right" vertical="center"/>
    </xf>
    <xf numFmtId="185" fontId="21" fillId="2" borderId="30" xfId="23" applyNumberFormat="1" applyFont="1" applyFill="1" applyBorder="1" applyAlignment="1">
      <alignment horizontal="right" vertical="center"/>
    </xf>
    <xf numFmtId="185" fontId="21" fillId="0" borderId="30" xfId="23" applyNumberFormat="1" applyFont="1" applyFill="1" applyBorder="1" applyAlignment="1">
      <alignment horizontal="right" vertical="center"/>
    </xf>
    <xf numFmtId="182" fontId="22" fillId="0" borderId="11" xfId="1" applyNumberFormat="1" applyFont="1" applyFill="1" applyBorder="1" applyAlignment="1">
      <alignment horizontal="right" vertical="center"/>
    </xf>
    <xf numFmtId="185" fontId="21" fillId="2" borderId="13" xfId="23" applyNumberFormat="1" applyFont="1" applyFill="1" applyBorder="1" applyAlignment="1">
      <alignment horizontal="right" vertical="center"/>
    </xf>
    <xf numFmtId="181" fontId="19" fillId="2" borderId="30" xfId="23" applyNumberFormat="1" applyFont="1" applyFill="1" applyBorder="1" applyAlignment="1">
      <alignment horizontal="right" vertical="center"/>
    </xf>
    <xf numFmtId="10" fontId="19" fillId="0" borderId="31" xfId="23" applyNumberFormat="1" applyFont="1" applyFill="1" applyBorder="1" applyAlignment="1">
      <alignment horizontal="right" vertical="center"/>
    </xf>
    <xf numFmtId="10" fontId="21" fillId="0" borderId="30" xfId="23" applyNumberFormat="1" applyFont="1" applyFill="1" applyBorder="1" applyAlignment="1">
      <alignment horizontal="right" vertical="center"/>
    </xf>
    <xf numFmtId="182" fontId="21" fillId="0" borderId="31" xfId="23" applyNumberFormat="1" applyFont="1" applyFill="1" applyBorder="1" applyAlignment="1">
      <alignment horizontal="right" vertical="center"/>
    </xf>
    <xf numFmtId="177" fontId="12" fillId="0" borderId="31" xfId="18" applyNumberFormat="1" applyFont="1" applyBorder="1" applyAlignment="1">
      <alignment horizontal="right" vertical="center"/>
    </xf>
    <xf numFmtId="177" fontId="12" fillId="2" borderId="32" xfId="18" applyNumberFormat="1" applyFont="1" applyFill="1" applyBorder="1" applyAlignment="1">
      <alignment horizontal="right" vertical="center"/>
    </xf>
    <xf numFmtId="10" fontId="19" fillId="2" borderId="32" xfId="23" applyNumberFormat="1" applyFont="1" applyFill="1" applyBorder="1" applyAlignment="1">
      <alignment horizontal="right" vertical="center"/>
    </xf>
    <xf numFmtId="185" fontId="12" fillId="0" borderId="0" xfId="18" applyNumberFormat="1" applyFont="1" applyAlignment="1">
      <alignment horizontal="right" vertical="center"/>
    </xf>
    <xf numFmtId="0" fontId="33" fillId="0" borderId="0" xfId="0" applyFont="1">
      <alignment vertical="center"/>
    </xf>
    <xf numFmtId="0" fontId="0" fillId="0" borderId="10" xfId="0" applyBorder="1">
      <alignment vertical="center"/>
    </xf>
    <xf numFmtId="0" fontId="34" fillId="0" borderId="11" xfId="0" applyFont="1" applyBorder="1" applyAlignment="1">
      <alignment horizontal="center" vertical="center"/>
    </xf>
    <xf numFmtId="0" fontId="35" fillId="0" borderId="33" xfId="0" applyFont="1" applyBorder="1" applyAlignment="1">
      <alignment horizontal="center" vertical="center"/>
    </xf>
    <xf numFmtId="0" fontId="36" fillId="0" borderId="1" xfId="0" applyFont="1" applyBorder="1" applyAlignment="1">
      <alignment horizontal="center" vertical="center"/>
    </xf>
    <xf numFmtId="183" fontId="37" fillId="0" borderId="1" xfId="55" applyNumberFormat="1" applyFont="1" applyBorder="1" applyAlignment="1">
      <alignment horizontal="center" vertical="center"/>
    </xf>
    <xf numFmtId="183" fontId="37" fillId="5" borderId="1" xfId="55" applyNumberFormat="1" applyFont="1" applyFill="1" applyBorder="1" applyAlignment="1">
      <alignment horizontal="center" vertical="center"/>
    </xf>
    <xf numFmtId="0" fontId="38" fillId="0" borderId="33" xfId="0" applyFont="1" applyBorder="1" applyAlignment="1">
      <alignment horizontal="center" vertical="center" wrapText="1"/>
    </xf>
    <xf numFmtId="0" fontId="36" fillId="4" borderId="1" xfId="0" applyFont="1" applyFill="1" applyBorder="1" applyAlignment="1">
      <alignment horizontal="center" vertical="center"/>
    </xf>
    <xf numFmtId="0" fontId="39" fillId="0" borderId="1" xfId="0" applyFont="1" applyBorder="1" applyAlignment="1">
      <alignment horizontal="center" vertical="center"/>
    </xf>
    <xf numFmtId="0" fontId="39" fillId="5" borderId="1" xfId="0" applyFont="1" applyFill="1" applyBorder="1" applyAlignment="1">
      <alignment horizontal="center" vertical="center"/>
    </xf>
    <xf numFmtId="0" fontId="35" fillId="0" borderId="33" xfId="0" applyFont="1" applyBorder="1" applyAlignment="1">
      <alignment horizontal="center" vertical="center" wrapText="1"/>
    </xf>
    <xf numFmtId="186" fontId="39" fillId="6" borderId="1" xfId="0" applyNumberFormat="1" applyFont="1" applyFill="1" applyBorder="1" applyAlignment="1">
      <alignment horizontal="center" vertical="center"/>
    </xf>
    <xf numFmtId="186" fontId="39" fillId="5" borderId="1" xfId="0" applyNumberFormat="1" applyFont="1" applyFill="1" applyBorder="1" applyAlignment="1">
      <alignment horizontal="center" vertical="center"/>
    </xf>
    <xf numFmtId="0" fontId="36" fillId="5" borderId="1" xfId="0" applyFont="1" applyFill="1" applyBorder="1" applyAlignment="1">
      <alignment horizontal="center" vertical="center"/>
    </xf>
    <xf numFmtId="10" fontId="39" fillId="5" borderId="1" xfId="0" applyNumberFormat="1" applyFont="1" applyFill="1" applyBorder="1" applyAlignment="1">
      <alignment horizontal="center" vertical="center"/>
    </xf>
    <xf numFmtId="0" fontId="36" fillId="6" borderId="1" xfId="0" applyFont="1" applyFill="1" applyBorder="1" applyAlignment="1">
      <alignment horizontal="center" vertical="center"/>
    </xf>
    <xf numFmtId="0" fontId="39" fillId="6" borderId="1" xfId="0" applyFont="1" applyFill="1" applyBorder="1" applyAlignment="1">
      <alignment horizontal="center" vertical="center"/>
    </xf>
    <xf numFmtId="0" fontId="35" fillId="0" borderId="12" xfId="0" applyFont="1" applyBorder="1" applyAlignment="1">
      <alignment horizontal="center" vertical="center" wrapText="1"/>
    </xf>
    <xf numFmtId="0" fontId="36" fillId="6" borderId="13" xfId="0" applyFont="1" applyFill="1" applyBorder="1" applyAlignment="1">
      <alignment horizontal="center" vertical="center"/>
    </xf>
    <xf numFmtId="0" fontId="39" fillId="6" borderId="13" xfId="0" applyFont="1" applyFill="1" applyBorder="1" applyAlignment="1">
      <alignment horizontal="center" vertical="center"/>
    </xf>
    <xf numFmtId="10" fontId="39" fillId="6" borderId="13" xfId="0" applyNumberFormat="1" applyFont="1" applyFill="1" applyBorder="1" applyAlignment="1">
      <alignment horizontal="center" vertical="center"/>
    </xf>
    <xf numFmtId="10" fontId="39" fillId="5" borderId="13" xfId="0" applyNumberFormat="1" applyFont="1" applyFill="1" applyBorder="1" applyAlignment="1">
      <alignment horizontal="center" vertical="center"/>
    </xf>
    <xf numFmtId="0" fontId="39" fillId="5" borderId="13" xfId="0" applyFont="1" applyFill="1" applyBorder="1" applyAlignment="1">
      <alignment horizontal="center" vertical="center"/>
    </xf>
    <xf numFmtId="0" fontId="34" fillId="0" borderId="26" xfId="0" applyFont="1" applyBorder="1" applyAlignment="1">
      <alignment horizontal="center" vertical="center"/>
    </xf>
    <xf numFmtId="183" fontId="37" fillId="0" borderId="27" xfId="55" applyNumberFormat="1" applyFont="1" applyBorder="1" applyAlignment="1">
      <alignment horizontal="center" vertical="center"/>
    </xf>
    <xf numFmtId="0" fontId="39" fillId="0" borderId="27" xfId="0" applyFont="1" applyBorder="1" applyAlignment="1">
      <alignment horizontal="center" vertical="center"/>
    </xf>
    <xf numFmtId="186" fontId="39" fillId="6" borderId="27" xfId="0" applyNumberFormat="1" applyFont="1" applyFill="1" applyBorder="1" applyAlignment="1">
      <alignment horizontal="center" vertical="center"/>
    </xf>
    <xf numFmtId="186" fontId="39" fillId="5" borderId="27" xfId="0" applyNumberFormat="1" applyFont="1" applyFill="1" applyBorder="1" applyAlignment="1">
      <alignment horizontal="center" vertical="center"/>
    </xf>
    <xf numFmtId="10" fontId="39" fillId="5" borderId="27" xfId="0" applyNumberFormat="1" applyFont="1" applyFill="1" applyBorder="1" applyAlignment="1">
      <alignment horizontal="center" vertical="center"/>
    </xf>
    <xf numFmtId="0" fontId="39" fillId="6" borderId="27" xfId="0" applyFont="1" applyFill="1" applyBorder="1" applyAlignment="1">
      <alignment horizontal="center" vertical="center"/>
    </xf>
    <xf numFmtId="10" fontId="39" fillId="6" borderId="28" xfId="0" applyNumberFormat="1" applyFont="1" applyFill="1" applyBorder="1" applyAlignment="1">
      <alignment horizontal="center" vertical="center"/>
    </xf>
    <xf numFmtId="187" fontId="0" fillId="0" borderId="0" xfId="0" applyNumberFormat="1" applyAlignment="1">
      <alignment horizontal="center" vertical="center"/>
    </xf>
    <xf numFmtId="58" fontId="0" fillId="0" borderId="1" xfId="0" applyNumberFormat="1" applyBorder="1" applyAlignment="1">
      <alignment horizontal="center" vertical="center"/>
    </xf>
    <xf numFmtId="180" fontId="0" fillId="0" borderId="0" xfId="0" applyNumberFormat="1" applyAlignment="1">
      <alignment horizontal="center" vertical="center"/>
    </xf>
    <xf numFmtId="185" fontId="0" fillId="0" borderId="1" xfId="0" applyNumberFormat="1" applyBorder="1" applyAlignment="1">
      <alignment horizontal="center" vertical="center"/>
    </xf>
    <xf numFmtId="58" fontId="0" fillId="0" borderId="0" xfId="0" applyNumberFormat="1">
      <alignment vertical="center"/>
    </xf>
    <xf numFmtId="187" fontId="0" fillId="0" borderId="0" xfId="0" applyNumberFormat="1">
      <alignment vertical="center"/>
    </xf>
    <xf numFmtId="0" fontId="40" fillId="0" borderId="0" xfId="0" applyFont="1" applyAlignment="1">
      <alignment horizontal="center"/>
    </xf>
    <xf numFmtId="0" fontId="0" fillId="0" borderId="0" xfId="0" applyAlignment="1"/>
    <xf numFmtId="0" fontId="40" fillId="0" borderId="0" xfId="0" applyFont="1" applyAlignment="1"/>
    <xf numFmtId="0" fontId="41" fillId="5" borderId="5" xfId="0" applyFont="1" applyFill="1" applyBorder="1" applyAlignment="1">
      <alignment horizontal="center" vertical="center" wrapText="1"/>
    </xf>
    <xf numFmtId="58" fontId="0" fillId="0" borderId="1" xfId="0" applyNumberFormat="1" applyBorder="1" applyAlignment="1">
      <alignment horizontal="center"/>
    </xf>
    <xf numFmtId="0" fontId="0" fillId="0" borderId="1" xfId="0" applyBorder="1" applyAlignment="1">
      <alignment horizontal="center"/>
    </xf>
    <xf numFmtId="58" fontId="39" fillId="0" borderId="1" xfId="54" applyNumberFormat="1" applyFont="1" applyBorder="1" applyAlignment="1">
      <alignment horizontal="center" vertical="center"/>
    </xf>
    <xf numFmtId="0" fontId="42" fillId="0" borderId="1" xfId="54" applyFont="1" applyBorder="1" applyAlignment="1">
      <alignment horizontal="center" vertical="center"/>
    </xf>
    <xf numFmtId="0" fontId="42" fillId="0" borderId="1" xfId="0" applyFont="1" applyBorder="1" applyAlignment="1">
      <alignment horizontal="center"/>
    </xf>
    <xf numFmtId="0" fontId="42" fillId="0" borderId="7" xfId="0" applyFont="1" applyBorder="1" applyAlignment="1">
      <alignment horizontal="center" vertical="center"/>
    </xf>
    <xf numFmtId="0" fontId="42" fillId="0" borderId="30" xfId="0" applyFont="1" applyBorder="1" applyAlignment="1">
      <alignment horizontal="center" vertical="center"/>
    </xf>
    <xf numFmtId="0" fontId="42" fillId="0" borderId="5" xfId="0" applyFont="1" applyBorder="1" applyAlignment="1">
      <alignment horizontal="center" vertical="center"/>
    </xf>
    <xf numFmtId="0" fontId="11" fillId="0" borderId="1" xfId="0" applyFont="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30" xfId="0" applyBorder="1" applyAlignment="1">
      <alignment horizontal="center" vertical="center" wrapText="1"/>
    </xf>
    <xf numFmtId="0" fontId="0" fillId="4" borderId="1" xfId="0" applyFill="1" applyBorder="1" applyAlignment="1">
      <alignment horizontal="center" vertical="center" wrapText="1"/>
    </xf>
    <xf numFmtId="185" fontId="0" fillId="4" borderId="1" xfId="0" applyNumberFormat="1" applyFill="1" applyBorder="1" applyAlignment="1">
      <alignment horizontal="center" vertical="center"/>
    </xf>
    <xf numFmtId="185" fontId="0" fillId="0" borderId="34" xfId="0" applyNumberFormat="1" applyBorder="1">
      <alignment vertical="center"/>
    </xf>
    <xf numFmtId="185" fontId="0" fillId="0" borderId="1" xfId="0" applyNumberFormat="1" applyBorder="1" applyAlignment="1">
      <alignment horizontal="right" vertical="center"/>
    </xf>
    <xf numFmtId="0" fontId="43" fillId="0" borderId="0" xfId="0" applyFont="1">
      <alignment vertical="center"/>
    </xf>
    <xf numFmtId="0" fontId="43" fillId="0" borderId="0" xfId="0" applyFont="1" applyAlignment="1">
      <alignment horizontal="center" vertical="center"/>
    </xf>
    <xf numFmtId="0" fontId="43" fillId="0" borderId="0" xfId="0" applyFont="1" applyBorder="1">
      <alignment vertical="center"/>
    </xf>
    <xf numFmtId="0" fontId="44" fillId="7" borderId="0" xfId="57" applyFont="1" applyFill="1" applyBorder="1" applyAlignment="1">
      <alignment horizontal="center" vertical="center" wrapText="1"/>
    </xf>
    <xf numFmtId="0" fontId="44" fillId="7" borderId="6" xfId="57" applyFont="1" applyFill="1" applyBorder="1" applyAlignment="1">
      <alignment horizontal="center" vertical="center" wrapText="1"/>
    </xf>
  </cellXfs>
  <cellStyles count="58">
    <cellStyle name="常规" xfId="0" builtinId="0"/>
    <cellStyle name="千位分隔 2 4" xfId="1"/>
    <cellStyle name="货币[0]" xfId="2" builtinId="7"/>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常规 30" xfId="18"/>
    <cellStyle name="标题" xfId="19" builtinId="15"/>
    <cellStyle name="解释性文本" xfId="20" builtinId="53"/>
    <cellStyle name="标题 1" xfId="21" builtinId="16"/>
    <cellStyle name="标题 2" xfId="22" builtinId="17"/>
    <cellStyle name="千位分隔 8" xfId="23"/>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40% - 强调文字颜色 6" xfId="51" builtinId="51"/>
    <cellStyle name="60% - 强调文字颜色 6" xfId="52" builtinId="52"/>
    <cellStyle name="Normal" xfId="53"/>
    <cellStyle name="常规 2" xfId="54"/>
    <cellStyle name="常规 3" xfId="55"/>
    <cellStyle name="常规 4" xfId="56"/>
    <cellStyle name="常规_职能月度直线考核模板" xfId="57"/>
  </cellStyles>
  <dxfs count="4">
    <dxf>
      <numFmt numFmtId="187" formatCode="#,##0.00_ "/>
    </dxf>
    <dxf>
      <font>
        <color rgb="FF9C0006"/>
      </font>
    </dxf>
    <dxf>
      <font>
        <color rgb="FFFF0000"/>
      </font>
    </dxf>
    <dxf>
      <font>
        <b val="1"/>
        <i val="0"/>
        <color rgb="FF1929FD"/>
      </font>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000939908515571151"/>
          <c:y val="0.0184842883548983"/>
        </c:manualLayout>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'10月份损失工时汇总'!$A$195:$A$208</c:f>
              <c:strCache>
                <c:ptCount val="14"/>
                <c:pt idx="0">
                  <c:v>PMC</c:v>
                </c:pt>
                <c:pt idx="1">
                  <c:v>品质</c:v>
                </c:pt>
                <c:pt idx="2">
                  <c:v>待定</c:v>
                </c:pt>
                <c:pt idx="3">
                  <c:v>其他</c:v>
                </c:pt>
                <c:pt idx="4">
                  <c:v>研发</c:v>
                </c:pt>
                <c:pt idx="5">
                  <c:v>工程</c:v>
                </c:pt>
                <c:pt idx="6">
                  <c:v>生产</c:v>
                </c:pt>
                <c:pt idx="7">
                  <c:v>销售</c:v>
                </c:pt>
                <c:pt idx="8">
                  <c:v>ODM事业部</c:v>
                </c:pt>
                <c:pt idx="9">
                  <c:v>中试</c:v>
                </c:pt>
                <c:pt idx="10">
                  <c:v>行政</c:v>
                </c:pt>
                <c:pt idx="11">
                  <c:v>烟油事业部</c:v>
                </c:pt>
                <c:pt idx="12">
                  <c:v>GTM产品部</c:v>
                </c:pt>
                <c:pt idx="13">
                  <c:v>自动化</c:v>
                </c:pt>
              </c:strCache>
            </c:strRef>
          </c:cat>
          <c:val>
            <c:numRef>
              <c:f>'10月份损失工时汇总'!$E$195:$E$208</c:f>
              <c:numCache>
                <c:formatCode>0.00%</c:formatCode>
                <c:ptCount val="14"/>
                <c:pt idx="0">
                  <c:v>0.922255421682357</c:v>
                </c:pt>
                <c:pt idx="1">
                  <c:v>0.0174207974261853</c:v>
                </c:pt>
                <c:pt idx="2">
                  <c:v>0</c:v>
                </c:pt>
                <c:pt idx="3">
                  <c:v>0.0288980286716722</c:v>
                </c:pt>
                <c:pt idx="4">
                  <c:v>0</c:v>
                </c:pt>
                <c:pt idx="5">
                  <c:v>0.0219752542696325</c:v>
                </c:pt>
                <c:pt idx="6">
                  <c:v>0</c:v>
                </c:pt>
                <c:pt idx="7">
                  <c:v>0.00546534821213658</c:v>
                </c:pt>
                <c:pt idx="8">
                  <c:v>0</c:v>
                </c:pt>
                <c:pt idx="9">
                  <c:v>0.00398514973801626</c:v>
                </c:pt>
                <c:pt idx="10">
                  <c:v>0</c:v>
                </c:pt>
                <c:pt idx="11">
                  <c:v>0</c:v>
                </c:pt>
                <c:pt idx="12">
                  <c:v>0</c:v>
                </c:pt>
                <c:pt idx="13">
                  <c:v>0</c:v>
                </c:pt>
              </c:numCache>
            </c:numRef>
          </c:val>
        </c:ser>
        <c:dLbls>
          <c:showLegendKey val="0"/>
          <c:showVal val="0"/>
          <c:showCatName val="1"/>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506730</xdr:colOff>
      <xdr:row>0</xdr:row>
      <xdr:rowOff>337820</xdr:rowOff>
    </xdr:from>
    <xdr:to>
      <xdr:col>2</xdr:col>
      <xdr:colOff>951230</xdr:colOff>
      <xdr:row>3</xdr:row>
      <xdr:rowOff>549910</xdr:rowOff>
    </xdr:to>
    <xdr:cxnSp>
      <xdr:nvCxnSpPr>
        <xdr:cNvPr id="2" name="直接连接符 1"/>
        <xdr:cNvCxnSpPr/>
      </xdr:nvCxnSpPr>
      <xdr:spPr>
        <a:xfrm>
          <a:off x="2064385" y="337820"/>
          <a:ext cx="444500" cy="721360"/>
        </a:xfrm>
        <a:prstGeom prst="line">
          <a:avLst/>
        </a:prstGeom>
        <a:ln w="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731520</xdr:colOff>
      <xdr:row>1</xdr:row>
      <xdr:rowOff>240030</xdr:rowOff>
    </xdr:from>
    <xdr:to>
      <xdr:col>2</xdr:col>
      <xdr:colOff>981710</xdr:colOff>
      <xdr:row>3</xdr:row>
      <xdr:rowOff>570865</xdr:rowOff>
    </xdr:to>
    <xdr:cxnSp>
      <xdr:nvCxnSpPr>
        <xdr:cNvPr id="3" name="直接连接符 2"/>
        <xdr:cNvCxnSpPr/>
      </xdr:nvCxnSpPr>
      <xdr:spPr>
        <a:xfrm>
          <a:off x="858520" y="622935"/>
          <a:ext cx="1680845" cy="4362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15240</xdr:colOff>
      <xdr:row>211</xdr:row>
      <xdr:rowOff>152400</xdr:rowOff>
    </xdr:from>
    <xdr:to>
      <xdr:col>9</xdr:col>
      <xdr:colOff>762635</xdr:colOff>
      <xdr:row>234</xdr:row>
      <xdr:rowOff>106680</xdr:rowOff>
    </xdr:to>
    <xdr:graphicFrame>
      <xdr:nvGraphicFramePr>
        <xdr:cNvPr id="2" name="图表 1"/>
        <xdr:cNvGraphicFramePr/>
      </xdr:nvGraphicFramePr>
      <xdr:xfrm>
        <a:off x="15240" y="10868025"/>
        <a:ext cx="7851140" cy="4791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skyQQ\AppData\Roaming\Foxmail7\Temp-11576-20210428082152\Attach\&#29983;&#20135;&#26085;&#25253;3&#26376;20&#2608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损失工时明细表（21.1.15）"/>
      <sheetName val="各类工时标准定义（21.1.15）"/>
      <sheetName val="爬坡曲线标准"/>
      <sheetName val="标准工时表"/>
      <sheetName val="拉线、制程"/>
      <sheetName val="生产部每日效率跟踪表"/>
      <sheetName val="生产日报表3.20"/>
      <sheetName val="生产日报表3.19"/>
      <sheetName val="生产日报表3.18"/>
      <sheetName val="生产日报表3.17"/>
      <sheetName val="生产日报表3.16"/>
      <sheetName val="生产日报表3.15"/>
      <sheetName val="生产日报表3.14"/>
      <sheetName val="生产日报表3.13"/>
      <sheetName val="生产日报表3.12"/>
      <sheetName val="生产日报表3.11"/>
      <sheetName val="生产日报表3.10"/>
      <sheetName val="生产日报表3.9"/>
      <sheetName val="生产日报表3.8"/>
      <sheetName val="生产日报表3.7"/>
      <sheetName val="生产日报表3.6"/>
      <sheetName val="生产日报表3.5"/>
      <sheetName val="生产日报表3.4"/>
      <sheetName val="生产日报表3.3"/>
      <sheetName val="生产日报表3.2"/>
      <sheetName val="生产日报表3.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42.8246064815" refreshedBy="Dell" recordCount="92">
  <cacheSource type="worksheet">
    <worksheetSource ref="A1:H93" sheet="代工收入"/>
  </cacheSource>
  <cacheFields count="8">
    <cacheField name="日期" numFmtId="58">
      <sharedItems containsSemiMixedTypes="0" containsString="0" containsNonDate="0" containsDate="1" minDate="2022-10-04T00:00:00" maxDate="2022-10-07T00:00:00" count="4">
        <d v="2022-10-04T00:00:00"/>
        <d v="2022-10-05T00:00:00"/>
        <d v="2022-10-06T00:00:00"/>
        <d v="2022-10-07T00:00:00"/>
      </sharedItems>
    </cacheField>
    <cacheField name="模块" numFmtId="0">
      <sharedItems count="4">
        <s v="雾化芯"/>
        <s v="一次性烟"/>
        <s v="包装"/>
        <s v="包装后段"/>
      </sharedItems>
    </cacheField>
    <cacheField name="品牌" numFmtId="0">
      <sharedItems count="3">
        <s v="VOOPOO"/>
        <s v="ODM"/>
        <s v="ZOVOO"/>
      </sharedItems>
    </cacheField>
    <cacheField name="机型" numFmtId="0">
      <sharedItems count="28">
        <s v="C328G"/>
        <s v="C331"/>
        <s v="C343A"/>
        <s v="C347E"/>
        <s v="KD046"/>
        <s v="KD050"/>
        <s v="KD053"/>
        <s v="KD054"/>
        <s v="UD005R"/>
        <s v="UD009"/>
        <s v="UD009A"/>
        <s v="UD015"/>
        <s v="UD015A"/>
        <s v="UD022B"/>
        <s v="UD030A"/>
        <s v="UD009C"/>
        <s v="UD023"/>
        <s v="UD035"/>
        <s v="KD052"/>
        <s v="UD026"/>
        <s v="UD030B"/>
        <s v="UD022"/>
        <s v="UD012"/>
        <s v="C322"/>
        <s v="UD007R"/>
        <s v="KD052C"/>
        <s v="UD010"/>
        <s v="UD007"/>
      </sharedItems>
    </cacheField>
    <cacheField name="合格数量" numFmtId="0">
      <sharedItems containsSemiMixedTypes="0" containsString="0" containsNumber="1" containsInteger="1" minValue="0" maxValue="68040" count="88">
        <n v="8000"/>
        <n v="7840"/>
        <n v="8200"/>
        <n v="1800"/>
        <n v="318"/>
        <n v="6923"/>
        <n v="9800"/>
        <n v="8663"/>
        <n v="22000"/>
        <n v="500"/>
        <n v="200"/>
        <n v="10900"/>
        <n v="14080"/>
        <n v="3304"/>
        <n v="7070"/>
        <n v="11660"/>
        <n v="41607"/>
        <n v="6960"/>
        <n v="11000"/>
        <n v="8800"/>
        <n v="1000"/>
        <n v="6200"/>
        <n v="9900"/>
        <n v="2200"/>
        <n v="302"/>
        <n v="14618"/>
        <n v="6201"/>
        <n v="28226"/>
        <n v="27765"/>
        <n v="8840"/>
        <n v="4760"/>
        <n v="350"/>
        <n v="7565"/>
        <n v="3000"/>
        <n v="4440"/>
        <n v="12730"/>
        <n v="3700"/>
        <n v="11252"/>
        <n v="1600"/>
        <n v="4900"/>
        <n v="4800"/>
        <n v="10300"/>
        <n v="2450"/>
        <n v="2850"/>
        <n v="1400"/>
        <n v="19163"/>
        <n v="7450"/>
        <n v="9960"/>
        <n v="1450"/>
        <n v="100"/>
        <n v="32197"/>
        <n v="13512"/>
        <n v="4644"/>
        <n v="9270"/>
        <n v="4350"/>
        <n v="5060"/>
        <n v="3720"/>
        <n v="31500"/>
        <n v="60000"/>
        <n v="1200"/>
        <n v="2600"/>
        <n v="2800"/>
        <n v="9700"/>
        <n v="1120"/>
        <n v="19026"/>
        <n v="8210"/>
        <n v="850"/>
        <n v="400"/>
        <n v="32940"/>
        <n v="13226"/>
        <n v="6120"/>
        <n v="5650"/>
        <n v="12000"/>
        <n v="5450"/>
        <n v="6494"/>
        <n v="6000"/>
        <n v="1020"/>
        <n v="25860"/>
        <n v="7200"/>
        <n v="5115"/>
        <n v="1900"/>
        <n v="1500"/>
        <n v="1492"/>
        <n v="68040"/>
        <n v="300"/>
        <n v="4400"/>
        <n v="5050"/>
        <n v="10500"/>
      </sharedItems>
    </cacheField>
    <cacheField name="已经" numFmtId="0">
      <sharedItems count="41">
        <s v="雾化芯C328G"/>
        <s v="雾化芯C331"/>
        <s v="雾化芯C343A"/>
        <s v="雾化芯C347E"/>
        <s v="一次性烟KD046"/>
        <s v="一次性烟KD050"/>
        <s v="一次性烟KD053"/>
        <s v="一次性烟KD054"/>
        <s v="一次性烟UD005R"/>
        <s v="一次性烟UD009"/>
        <s v="一次性烟UD009A"/>
        <s v="一次性烟UD015"/>
        <s v="一次性烟UD015A"/>
        <s v="一次性烟UD022B"/>
        <s v="一次性烟UD030A"/>
        <s v="包装KD053"/>
        <s v="包装UD009A"/>
        <s v="包装UD009C"/>
        <s v="包装UD022B"/>
        <s v="包装UD023"/>
        <s v="包装UD035"/>
        <s v="一次性烟KD052"/>
        <s v="一次性烟UD023"/>
        <s v="一次性烟UD026"/>
        <s v="一次性烟UD030B"/>
        <s v="一次性烟UD035"/>
        <s v="包装KD050"/>
        <s v="包装UD015"/>
        <s v="包装UD022"/>
        <s v="包装UD026"/>
        <s v="一次性烟UD009C"/>
        <s v="包装UD012"/>
        <s v="包装UD015A"/>
        <s v="雾化芯C322"/>
        <s v="一次性烟UD007R"/>
        <s v="包装KD046"/>
        <s v="包装KD052C"/>
        <s v="包装UD005R"/>
        <s v="包装UD010"/>
        <s v="包装后段UD007"/>
        <s v="包装后段UD009A"/>
      </sharedItems>
    </cacheField>
    <cacheField name="单价" numFmtId="180">
      <sharedItems containsSemiMixedTypes="0" containsString="0" containsNumber="1" minValue="0" maxValue="3.29" count="22">
        <n v="1.05428571428571"/>
        <n v="1.21326530612245"/>
        <n v="1.23440860215054"/>
        <n v="1.30454545454545"/>
        <n v="2.81142857142857"/>
        <n v="2.99"/>
        <n v="2.37"/>
        <n v="2.09"/>
        <n v="1.84"/>
        <n v="2.79"/>
        <n v="2.46"/>
        <n v="2.51857142857143"/>
        <n v="3.29"/>
        <n v="2.11172043010753"/>
        <n v="0.41"/>
        <n v="0.61"/>
        <n v="1.05"/>
        <n v="1.87428571428571"/>
        <n v="0.63"/>
        <n v="2.38"/>
        <n v="2.77352941176471"/>
        <n v="0.149682539682539"/>
      </sharedItems>
    </cacheField>
    <cacheField name="代工" numFmtId="187">
      <sharedItems containsSemiMixedTypes="0" containsString="0" containsNumber="1" minValue="0" maxValue="82961.7428571429" count="92">
        <n v="8434.28571428571"/>
        <n v="9512.00000000001"/>
        <n v="10122.1505376344"/>
        <n v="2348.18181818181"/>
        <n v="894.034285714285"/>
        <n v="20699.77"/>
        <n v="23226"/>
        <n v="18105.67"/>
        <n v="40480"/>
        <n v="1395"/>
        <n v="558"/>
        <n v="26814"/>
        <n v="35461.4857142857"/>
        <n v="10870.16"/>
        <n v="14929.8634408602"/>
        <n v="4780.6"/>
        <n v="25380.27"/>
        <n v="2853.6"/>
        <n v="4510"/>
        <n v="3608"/>
        <n v="410"/>
        <n v="7653.33333333335"/>
        <n v="11550"/>
        <n v="12011.3265306123"/>
        <n v="2869.99999999999"/>
        <n v="566.034285714286"/>
        <n v="34644.66"/>
        <n v="12960.09"/>
        <n v="51935.84"/>
        <n v="126"/>
        <n v="69928.1357142858"/>
        <n v="29083.6"/>
        <n v="15660.4"/>
        <n v="833"/>
        <n v="15975.1650537635"/>
        <n v="6335.16129032259"/>
        <n v="12314.4705882353"/>
        <n v="5219.3"/>
        <n v="1517"/>
        <n v="4613.32"/>
        <n v="656"/>
        <n v="2009"/>
        <n v="1968"/>
        <n v="12496.6326530612"/>
        <n v="3196.13636363635"/>
        <n v="8521.5"/>
        <n v="2624"/>
        <n v="45416.31"/>
        <n v="15570.5"/>
        <n v="18326.4"/>
        <n v="913.5"/>
        <n v="279"/>
        <n v="81090.4442857143"/>
        <n v="44454.48"/>
        <n v="15278.76"/>
        <n v="19575.6483870968"/>
        <n v="9185.98387096776"/>
        <n v="14034.0588235294"/>
        <n v="1525.2"/>
        <n v="1230"/>
        <n v="12915"/>
        <n v="24600"/>
        <n v="492"/>
        <n v="1066"/>
        <n v="1148"/>
        <n v="10226.5714285714"/>
        <n v="1260"/>
        <n v="2099.2"/>
        <n v="45091.62"/>
        <n v="17158.9"/>
        <n v="535.5"/>
        <n v="836"/>
        <n v="82961.7428571429"/>
        <n v="43513.54"/>
        <n v="20134.8"/>
        <n v="13447"/>
        <n v="25340.6451612904"/>
        <n v="11508.876344086"/>
        <n v="18011.3"/>
        <n v="2460"/>
        <n v="622.2"/>
        <n v="15774.6"/>
        <n v="4392"/>
        <n v="3120.15"/>
        <n v="1159"/>
        <n v="615"/>
        <n v="611.72"/>
        <n v="27896.4"/>
        <n v="123"/>
        <n v="1804"/>
        <n v="755.896825396822"/>
        <n v="1571.66666666666"/>
      </sharedItems>
    </cacheField>
  </cacheFields>
</pivotCacheDefinition>
</file>

<file path=xl/pivotCache/pivotCacheRecords1.xml><?xml version="1.0" encoding="utf-8"?>
<pivotCacheRecords xmlns="http://schemas.openxmlformats.org/spreadsheetml/2006/main" xmlns:r="http://schemas.openxmlformats.org/officeDocument/2006/relationships" count="92">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r>
    <x v="4294967295"/>
    <x v="4294967295"/>
    <x v="4294967295"/>
    <x v="4294967295"/>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1:M6" firstHeaderRow="1" firstDataRow="1" firstDataCol="1"/>
  <pivotFields count="8">
    <pivotField axis="axisRow" compact="0" numFmtId="58" showAll="0">
      <items count="5">
        <item x="0"/>
        <item x="1"/>
        <item x="2"/>
        <item x="3"/>
        <item t="default"/>
      </items>
    </pivotField>
    <pivotField compact="0" showAll="0"/>
    <pivotField compact="0" showAll="0"/>
    <pivotField compact="0" showAll="0"/>
    <pivotField compact="0" showAll="0"/>
    <pivotField compact="0" showAll="0"/>
    <pivotField compact="0" showAll="0"/>
    <pivotField dataField="1" compact="0" numFmtId="187" showAll="0">
      <items count="93">
        <item x="88"/>
        <item x="29"/>
        <item x="51"/>
        <item x="20"/>
        <item x="62"/>
        <item x="70"/>
        <item x="10"/>
        <item x="25"/>
        <item x="86"/>
        <item x="85"/>
        <item x="80"/>
        <item x="40"/>
        <item x="90"/>
        <item x="33"/>
        <item x="71"/>
        <item x="4"/>
        <item x="50"/>
        <item x="63"/>
        <item x="64"/>
        <item x="84"/>
        <item x="59"/>
        <item x="66"/>
        <item x="9"/>
        <item x="38"/>
        <item x="58"/>
        <item x="91"/>
        <item x="89"/>
        <item x="42"/>
        <item x="41"/>
        <item x="67"/>
        <item x="3"/>
        <item x="79"/>
        <item x="46"/>
        <item x="17"/>
        <item x="24"/>
        <item x="83"/>
        <item x="44"/>
        <item x="19"/>
        <item x="82"/>
        <item x="18"/>
        <item x="39"/>
        <item x="15"/>
        <item x="37"/>
        <item x="35"/>
        <item x="21"/>
        <item x="0"/>
        <item x="45"/>
        <item x="56"/>
        <item x="1"/>
        <item x="2"/>
        <item x="65"/>
        <item x="13"/>
        <item x="77"/>
        <item x="22"/>
        <item x="23"/>
        <item x="36"/>
        <item x="43"/>
        <item x="60"/>
        <item x="27"/>
        <item x="75"/>
        <item x="57"/>
        <item x="14"/>
        <item x="54"/>
        <item x="48"/>
        <item x="32"/>
        <item x="81"/>
        <item x="34"/>
        <item x="69"/>
        <item x="78"/>
        <item x="7"/>
        <item x="49"/>
        <item x="55"/>
        <item x="74"/>
        <item x="5"/>
        <item x="6"/>
        <item x="61"/>
        <item x="76"/>
        <item x="16"/>
        <item x="11"/>
        <item x="87"/>
        <item x="31"/>
        <item x="26"/>
        <item x="12"/>
        <item x="8"/>
        <item x="73"/>
        <item x="53"/>
        <item x="68"/>
        <item x="47"/>
        <item x="28"/>
        <item x="30"/>
        <item x="52"/>
        <item x="72"/>
        <item t="default"/>
      </items>
    </pivotField>
  </pivotFields>
  <rowFields count="1">
    <field x="0"/>
  </rowFields>
  <rowItems count="5">
    <i>
      <x/>
    </i>
    <i>
      <x v="1"/>
    </i>
    <i>
      <x v="2"/>
    </i>
    <i>
      <x v="3"/>
    </i>
    <i t="grand">
      <x/>
    </i>
  </rowItems>
  <colItems count="1">
    <i/>
  </colItems>
  <dataFields count="1">
    <dataField name="求和项:代工" fld="7" baseField="0" baseItem="0"/>
  </dataFields>
  <formats count="1">
    <format dxfId="0">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pageSetUpPr fitToPage="1"/>
  </sheetPr>
  <dimension ref="A1:D2"/>
  <sheetViews>
    <sheetView showGridLines="0" tabSelected="1" workbookViewId="0">
      <pane xSplit="2" ySplit="1" topLeftCell="C2" activePane="bottomRight" state="frozen"/>
      <selection/>
      <selection pane="topRight"/>
      <selection pane="bottomLeft"/>
      <selection pane="bottomRight" activeCell="A1" sqref="A1"/>
    </sheetView>
  </sheetViews>
  <sheetFormatPr defaultColWidth="8.775" defaultRowHeight="16.5" outlineLevelRow="1" outlineLevelCol="3"/>
  <cols>
    <col min="1" max="1" width="3.5" style="302" customWidth="1"/>
    <col min="2" max="2" width="44.125" style="303" customWidth="1"/>
    <col min="3" max="3" width="44.125" style="302" customWidth="1"/>
    <col min="4" max="16384" width="8.775" style="302"/>
  </cols>
  <sheetData>
    <row r="1" spans="1:4">
      <c r="A1" s="304"/>
      <c r="B1" s="305" t="s">
        <v>0</v>
      </c>
      <c r="C1" s="306" t="s">
        <v>1</v>
      </c>
      <c r="D1" s="304"/>
    </row>
    <row r="2" spans="1:3">
      <c r="A2" s="302"/>
      <c r="B2" s="303" t="s">
        <v>2</v>
      </c>
      <c r="C2" s="304"/>
    </row>
  </sheetData>
  <pageMargins left="0.393055555555556" right="0.236111111111111" top="0.314583333333333" bottom="0.550694444444444" header="0.314583333333333" footer="0.5"/>
  <pageSetup paperSize="9" scale="32" orientation="landscape"/>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8"/>
  <sheetViews>
    <sheetView zoomScale="55" zoomScaleNormal="55" workbookViewId="0">
      <selection activeCell="K13" sqref="A12:K15"/>
    </sheetView>
  </sheetViews>
  <sheetFormatPr defaultColWidth="9" defaultRowHeight="13.5"/>
  <cols>
    <col min="1" max="1" width="16.8916666666667" customWidth="1"/>
    <col min="2" max="2" width="15.225" customWidth="1"/>
    <col min="3" max="27" width="9.89166666666667" customWidth="1"/>
    <col min="28" max="33" width="11.4416666666667" customWidth="1"/>
    <col min="38" max="38" width="12.6666666666667"/>
  </cols>
  <sheetData>
    <row r="1" ht="28.95" customHeight="1" spans="1:33">
      <c r="A1" s="291" t="s">
        <v>3</v>
      </c>
      <c r="B1" s="292"/>
      <c r="C1" s="293" t="s">
        <v>4</v>
      </c>
      <c r="D1" s="293" t="s">
        <v>5</v>
      </c>
      <c r="E1" s="293" t="s">
        <v>6</v>
      </c>
      <c r="F1" s="293" t="s">
        <v>7</v>
      </c>
      <c r="G1" s="293" t="s">
        <v>8</v>
      </c>
      <c r="H1" s="293" t="s">
        <v>9</v>
      </c>
      <c r="I1" s="293" t="s">
        <v>10</v>
      </c>
      <c r="J1" s="293" t="s">
        <v>11</v>
      </c>
      <c r="K1" s="293" t="s">
        <v>12</v>
      </c>
      <c r="L1" s="293" t="s">
        <v>13</v>
      </c>
      <c r="M1" s="293" t="s">
        <v>14</v>
      </c>
      <c r="N1" s="293" t="s">
        <v>15</v>
      </c>
      <c r="O1" s="293" t="s">
        <v>16</v>
      </c>
      <c r="P1" s="293" t="s">
        <v>17</v>
      </c>
      <c r="Q1" s="293" t="s">
        <v>18</v>
      </c>
      <c r="R1" s="293" t="s">
        <v>19</v>
      </c>
      <c r="S1" s="293" t="s">
        <v>20</v>
      </c>
      <c r="T1" s="293" t="s">
        <v>21</v>
      </c>
      <c r="U1" s="293" t="s">
        <v>22</v>
      </c>
      <c r="V1" s="293" t="s">
        <v>23</v>
      </c>
      <c r="W1" s="293" t="s">
        <v>24</v>
      </c>
      <c r="X1" s="293" t="s">
        <v>25</v>
      </c>
      <c r="Y1" s="293" t="s">
        <v>26</v>
      </c>
      <c r="Z1" s="293" t="s">
        <v>27</v>
      </c>
      <c r="AA1" s="293" t="s">
        <v>28</v>
      </c>
      <c r="AB1" s="293" t="s">
        <v>29</v>
      </c>
      <c r="AC1" s="293" t="s">
        <v>30</v>
      </c>
      <c r="AD1" s="293" t="s">
        <v>31</v>
      </c>
      <c r="AE1" s="293" t="s">
        <v>32</v>
      </c>
      <c r="AF1" s="293" t="s">
        <v>33</v>
      </c>
      <c r="AG1" s="293" t="s">
        <v>34</v>
      </c>
    </row>
    <row r="2" spans="1:33">
      <c r="A2" s="294" t="s">
        <v>35</v>
      </c>
      <c r="B2" s="27" t="s">
        <v>36</v>
      </c>
      <c r="C2" s="27"/>
      <c r="D2" s="27"/>
      <c r="E2" s="27"/>
      <c r="F2" s="27"/>
      <c r="G2" s="27"/>
      <c r="H2" s="27"/>
      <c r="I2" s="27"/>
      <c r="J2" s="27"/>
      <c r="K2" s="27"/>
      <c r="L2" s="27"/>
      <c r="M2" s="27"/>
      <c r="N2" s="27"/>
      <c r="O2" s="27"/>
      <c r="P2" s="27"/>
      <c r="Q2" s="27"/>
      <c r="R2" s="27"/>
      <c r="S2" s="27"/>
      <c r="T2" s="27"/>
      <c r="U2" s="27"/>
      <c r="V2" s="27"/>
      <c r="W2" s="27"/>
      <c r="X2" s="27"/>
      <c r="Y2" s="27"/>
      <c r="Z2" s="27"/>
      <c r="AA2" s="27"/>
      <c r="AB2" s="275"/>
      <c r="AC2" s="275"/>
      <c r="AD2" s="27"/>
      <c r="AE2" s="27"/>
      <c r="AF2" s="27"/>
      <c r="AG2" s="27"/>
    </row>
    <row r="3" spans="1:33">
      <c r="A3" s="295"/>
      <c r="B3" s="27" t="s">
        <v>37</v>
      </c>
      <c r="C3" s="27"/>
      <c r="D3" s="27"/>
      <c r="E3" s="27"/>
      <c r="F3" s="27"/>
      <c r="G3" s="27"/>
      <c r="H3" s="27"/>
      <c r="I3" s="27"/>
      <c r="J3" s="27"/>
      <c r="K3" s="27"/>
      <c r="L3" s="27"/>
      <c r="M3" s="27"/>
      <c r="N3" s="27"/>
      <c r="O3" s="27"/>
      <c r="P3" s="27"/>
      <c r="Q3" s="27"/>
      <c r="R3" s="27"/>
      <c r="S3" s="27"/>
      <c r="T3" s="27"/>
      <c r="U3" s="27"/>
      <c r="V3" s="27"/>
      <c r="W3" s="27"/>
      <c r="X3" s="27"/>
      <c r="Y3" s="27"/>
      <c r="Z3" s="27"/>
      <c r="AA3" s="27"/>
      <c r="AB3" s="275"/>
      <c r="AC3" s="275"/>
      <c r="AD3" s="27"/>
      <c r="AE3" s="27"/>
      <c r="AF3" s="27"/>
      <c r="AG3" s="27"/>
    </row>
    <row r="4" spans="1:33">
      <c r="A4" s="296" t="s">
        <v>38</v>
      </c>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5"/>
      <c r="AD4" s="27"/>
      <c r="AE4" s="27"/>
      <c r="AF4" s="27"/>
      <c r="AG4" s="27"/>
    </row>
    <row r="5" spans="1:33">
      <c r="A5" s="296" t="s">
        <v>39</v>
      </c>
      <c r="B5" s="27" t="s">
        <v>40</v>
      </c>
      <c r="C5" s="275"/>
      <c r="D5" s="275"/>
      <c r="E5" s="275"/>
      <c r="F5" s="275">
        <f>SUM(F6:F7)</f>
        <v>265393.071510962</v>
      </c>
      <c r="G5" s="275">
        <f>SUM(G6:G7)</f>
        <v>300429.836796267</v>
      </c>
      <c r="H5" s="275">
        <f>SUM(H6:H7)</f>
        <v>333939.554384006</v>
      </c>
      <c r="I5" s="275">
        <f>SUM(I6:I7)</f>
        <v>353031.329283154</v>
      </c>
      <c r="J5" s="275"/>
      <c r="K5" s="275"/>
      <c r="L5" s="275"/>
      <c r="M5" s="275"/>
      <c r="N5" s="275"/>
      <c r="O5" s="275"/>
      <c r="P5" s="275"/>
      <c r="Q5" s="275"/>
      <c r="R5" s="275"/>
      <c r="S5" s="275"/>
      <c r="T5" s="275"/>
      <c r="U5" s="275"/>
      <c r="V5" s="275"/>
      <c r="W5" s="275"/>
      <c r="X5" s="275"/>
      <c r="Y5" s="275"/>
      <c r="Z5" s="275"/>
      <c r="AA5" s="275"/>
      <c r="AB5" s="275"/>
      <c r="AC5" s="275"/>
      <c r="AD5" s="300"/>
      <c r="AE5" s="300"/>
      <c r="AF5" s="27"/>
      <c r="AG5" s="27"/>
    </row>
    <row r="6" spans="1:33">
      <c r="A6" s="296" t="s">
        <v>41</v>
      </c>
      <c r="B6" s="27" t="s">
        <v>36</v>
      </c>
      <c r="C6" s="27"/>
      <c r="D6" s="27"/>
      <c r="E6" s="27"/>
      <c r="F6" s="275">
        <f>SUM(代工收入!H2:H5)</f>
        <v>30416.618070102</v>
      </c>
      <c r="G6" s="275">
        <f>SUM(代工收入!H23:H26)</f>
        <v>34084.6598639456</v>
      </c>
      <c r="H6" s="275">
        <f>SUM(代工收入!H45:H46)</f>
        <v>15692.7690166976</v>
      </c>
      <c r="I6" s="275">
        <f>SUM(代工收入!H67:H68)</f>
        <v>11486.5714285714</v>
      </c>
      <c r="J6" s="27"/>
      <c r="K6" s="27"/>
      <c r="L6" s="27"/>
      <c r="M6" s="27"/>
      <c r="N6" s="27"/>
      <c r="O6" s="27"/>
      <c r="P6" s="27"/>
      <c r="Q6" s="27"/>
      <c r="R6" s="27"/>
      <c r="S6" s="27"/>
      <c r="T6" s="27"/>
      <c r="U6" s="27"/>
      <c r="V6" s="27"/>
      <c r="W6" s="27"/>
      <c r="X6" s="27"/>
      <c r="Y6" s="27"/>
      <c r="Z6" s="27"/>
      <c r="AA6" s="27"/>
      <c r="AB6" s="275"/>
      <c r="AC6" s="301"/>
      <c r="AD6" s="27"/>
      <c r="AE6" s="27"/>
      <c r="AF6" s="27"/>
      <c r="AG6" s="27"/>
    </row>
    <row r="7" spans="1:33">
      <c r="A7" s="296" t="s">
        <v>41</v>
      </c>
      <c r="B7" s="27" t="s">
        <v>42</v>
      </c>
      <c r="C7" s="27"/>
      <c r="D7" s="27"/>
      <c r="E7" s="27"/>
      <c r="F7" s="275">
        <f>SUM(代工收入!H6:H22)</f>
        <v>234976.45344086</v>
      </c>
      <c r="G7" s="275">
        <f>SUM(代工收入!H27:H44)</f>
        <v>266345.176932321</v>
      </c>
      <c r="H7" s="275">
        <f>SUM(代工收入!H47:H66)</f>
        <v>318246.785367308</v>
      </c>
      <c r="I7" s="275">
        <f>SUM(代工收入!H69:H93)</f>
        <v>341544.757854583</v>
      </c>
      <c r="J7" s="27"/>
      <c r="K7" s="27"/>
      <c r="L7" s="27"/>
      <c r="M7" s="27"/>
      <c r="N7" s="27"/>
      <c r="O7" s="27"/>
      <c r="P7" s="27"/>
      <c r="Q7" s="27"/>
      <c r="R7" s="27"/>
      <c r="S7" s="27"/>
      <c r="T7" s="27"/>
      <c r="U7" s="27"/>
      <c r="V7" s="27"/>
      <c r="W7" s="27"/>
      <c r="X7" s="27"/>
      <c r="Y7" s="27"/>
      <c r="Z7" s="27"/>
      <c r="AA7" s="27"/>
      <c r="AB7" s="275"/>
      <c r="AC7" s="275"/>
      <c r="AD7" s="300"/>
      <c r="AE7" s="300"/>
      <c r="AF7" s="27"/>
      <c r="AG7" s="27"/>
    </row>
    <row r="8" ht="27" spans="1:33">
      <c r="A8" s="296" t="s">
        <v>43</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5"/>
      <c r="AD8" s="27"/>
      <c r="AE8" s="27"/>
      <c r="AF8" s="27"/>
      <c r="AG8" s="27"/>
    </row>
    <row r="9" spans="1:33">
      <c r="A9" s="294" t="s">
        <v>44</v>
      </c>
      <c r="B9" s="27" t="s">
        <v>45</v>
      </c>
      <c r="C9" s="275"/>
      <c r="D9" s="275"/>
      <c r="E9" s="275"/>
      <c r="F9" s="275">
        <v>159235.842906577</v>
      </c>
      <c r="G9" s="275">
        <v>180257.90207776</v>
      </c>
      <c r="H9" s="275">
        <v>200363.732630404</v>
      </c>
      <c r="I9" s="275">
        <v>211818.797569893</v>
      </c>
      <c r="J9" s="275"/>
      <c r="K9" s="275"/>
      <c r="L9" s="275"/>
      <c r="M9" s="275"/>
      <c r="N9" s="275"/>
      <c r="O9" s="275"/>
      <c r="P9" s="275"/>
      <c r="Q9" s="275"/>
      <c r="R9" s="275"/>
      <c r="S9" s="275"/>
      <c r="T9" s="275"/>
      <c r="U9" s="275"/>
      <c r="V9" s="275"/>
      <c r="W9" s="275"/>
      <c r="X9" s="275"/>
      <c r="Y9" s="275"/>
      <c r="Z9" s="275"/>
      <c r="AA9" s="275"/>
      <c r="AB9" s="275"/>
      <c r="AC9" s="275"/>
      <c r="AD9" s="275"/>
      <c r="AE9" s="275"/>
      <c r="AF9" s="27"/>
      <c r="AG9" s="27"/>
    </row>
    <row r="10" spans="1:33">
      <c r="A10" s="297"/>
      <c r="B10" s="27" t="s">
        <v>46</v>
      </c>
      <c r="C10" s="275"/>
      <c r="D10" s="275"/>
      <c r="E10" s="275"/>
      <c r="F10" s="275">
        <v>60820.7733333333</v>
      </c>
      <c r="G10" s="275">
        <v>60820.7733333333</v>
      </c>
      <c r="H10" s="275">
        <v>65309.035</v>
      </c>
      <c r="I10" s="275">
        <v>65309.035</v>
      </c>
      <c r="J10" s="275"/>
      <c r="K10" s="275"/>
      <c r="L10" s="275"/>
      <c r="M10" s="275"/>
      <c r="N10" s="275"/>
      <c r="O10" s="275"/>
      <c r="P10" s="275"/>
      <c r="Q10" s="275"/>
      <c r="R10" s="275"/>
      <c r="S10" s="275"/>
      <c r="T10" s="275"/>
      <c r="U10" s="275"/>
      <c r="V10" s="275"/>
      <c r="W10" s="275"/>
      <c r="X10" s="275"/>
      <c r="Y10" s="275"/>
      <c r="Z10" s="275"/>
      <c r="AA10" s="275"/>
      <c r="AB10" s="275"/>
      <c r="AC10" s="275"/>
      <c r="AD10" s="275"/>
      <c r="AE10" s="275"/>
      <c r="AF10" s="27"/>
      <c r="AG10" s="27"/>
    </row>
    <row r="11" spans="1:33">
      <c r="A11" s="295"/>
      <c r="B11" s="27" t="s">
        <v>47</v>
      </c>
      <c r="C11" s="275"/>
      <c r="D11" s="275"/>
      <c r="E11" s="275"/>
      <c r="F11" s="275">
        <v>14089.9285333333</v>
      </c>
      <c r="G11" s="275">
        <v>14089.9285333333</v>
      </c>
      <c r="H11" s="275">
        <v>43028.5066666667</v>
      </c>
      <c r="I11" s="275">
        <v>43028.5066666667</v>
      </c>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
      <c r="AG11" s="27"/>
    </row>
    <row r="12" spans="1:33">
      <c r="A12" s="294" t="s">
        <v>48</v>
      </c>
      <c r="B12" s="27" t="s">
        <v>49</v>
      </c>
      <c r="C12" s="275"/>
      <c r="D12" s="275"/>
      <c r="E12" s="275"/>
      <c r="F12" s="275">
        <v>22594.3796296296</v>
      </c>
      <c r="G12" s="275">
        <v>22594.3796296296</v>
      </c>
      <c r="H12" s="275">
        <v>22594.3796296296</v>
      </c>
      <c r="I12" s="275">
        <v>22594.3796296296</v>
      </c>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
      <c r="AG12" s="27"/>
    </row>
    <row r="13" spans="1:33">
      <c r="A13" s="295"/>
      <c r="B13" s="27" t="s">
        <v>50</v>
      </c>
      <c r="C13" s="275"/>
      <c r="D13" s="275"/>
      <c r="E13" s="275"/>
      <c r="F13" s="275">
        <v>36336.617037037</v>
      </c>
      <c r="G13" s="275">
        <v>36336.617037037</v>
      </c>
      <c r="H13" s="275">
        <v>36336.617037037</v>
      </c>
      <c r="I13" s="275">
        <v>36336.617037037</v>
      </c>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
      <c r="AG13" s="27"/>
    </row>
    <row r="14" ht="27" spans="1:33">
      <c r="A14" s="296" t="s">
        <v>51</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5"/>
      <c r="AD14" s="27"/>
      <c r="AE14" s="27"/>
      <c r="AF14" s="27"/>
      <c r="AG14" s="27"/>
    </row>
    <row r="15" ht="27" spans="1:33">
      <c r="A15" s="296" t="s">
        <v>52</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5"/>
      <c r="AD15" s="27"/>
      <c r="AE15" s="27"/>
      <c r="AF15" s="27"/>
      <c r="AG15" s="27"/>
    </row>
    <row r="16" spans="1:33">
      <c r="A16" s="294" t="s">
        <v>53</v>
      </c>
      <c r="B16" s="27" t="s">
        <v>54</v>
      </c>
      <c r="C16" s="275"/>
      <c r="D16" s="275"/>
      <c r="E16" s="275"/>
      <c r="F16" s="275">
        <f>SUM(试产!I2:I8)*41</f>
        <v>16072</v>
      </c>
      <c r="G16" s="275">
        <f>SUM(试产!I10:I11)*41</f>
        <v>3444</v>
      </c>
      <c r="H16" s="275">
        <f>SUM(试产!I12)*41</f>
        <v>18470.5</v>
      </c>
      <c r="I16" s="275">
        <f>SUM(试产!I23:I38)*41</f>
        <v>28556.5</v>
      </c>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
      <c r="AG16" s="27"/>
    </row>
    <row r="17" spans="1:33">
      <c r="A17" s="295"/>
      <c r="B17" s="27" t="s">
        <v>55</v>
      </c>
      <c r="C17" s="275"/>
      <c r="D17" s="275"/>
      <c r="E17" s="275"/>
      <c r="F17" s="275"/>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
      <c r="AG17" s="27"/>
    </row>
    <row r="18" ht="27" spans="1:33">
      <c r="A18" s="298" t="s">
        <v>56</v>
      </c>
      <c r="B18" s="293"/>
      <c r="C18" s="299">
        <f>C5-C9-C10-C11-C12-C13+C16+C17</f>
        <v>0</v>
      </c>
      <c r="D18" s="299">
        <f t="shared" ref="D18:AE18" si="0">D5-D9-D10-D11-D12-D13+D16+D17</f>
        <v>0</v>
      </c>
      <c r="E18" s="299">
        <f t="shared" si="0"/>
        <v>0</v>
      </c>
      <c r="F18" s="299">
        <f t="shared" si="0"/>
        <v>-11612.469928948</v>
      </c>
      <c r="G18" s="299">
        <f t="shared" si="0"/>
        <v>-10225.7638148262</v>
      </c>
      <c r="H18" s="299">
        <f t="shared" si="0"/>
        <v>-15222.2165797314</v>
      </c>
      <c r="I18" s="299">
        <f t="shared" si="0"/>
        <v>2500.49337992797</v>
      </c>
      <c r="J18" s="299">
        <f t="shared" si="0"/>
        <v>0</v>
      </c>
      <c r="K18" s="299">
        <f t="shared" si="0"/>
        <v>0</v>
      </c>
      <c r="L18" s="299">
        <f t="shared" si="0"/>
        <v>0</v>
      </c>
      <c r="M18" s="299">
        <f t="shared" si="0"/>
        <v>0</v>
      </c>
      <c r="N18" s="299">
        <f t="shared" si="0"/>
        <v>0</v>
      </c>
      <c r="O18" s="299">
        <f t="shared" si="0"/>
        <v>0</v>
      </c>
      <c r="P18" s="299">
        <f t="shared" si="0"/>
        <v>0</v>
      </c>
      <c r="Q18" s="299">
        <f t="shared" si="0"/>
        <v>0</v>
      </c>
      <c r="R18" s="299">
        <f t="shared" si="0"/>
        <v>0</v>
      </c>
      <c r="S18" s="299">
        <f t="shared" si="0"/>
        <v>0</v>
      </c>
      <c r="T18" s="299">
        <f t="shared" si="0"/>
        <v>0</v>
      </c>
      <c r="U18" s="299">
        <f t="shared" si="0"/>
        <v>0</v>
      </c>
      <c r="V18" s="299">
        <f t="shared" si="0"/>
        <v>0</v>
      </c>
      <c r="W18" s="299">
        <f t="shared" si="0"/>
        <v>0</v>
      </c>
      <c r="X18" s="299">
        <f t="shared" si="0"/>
        <v>0</v>
      </c>
      <c r="Y18" s="299">
        <f t="shared" si="0"/>
        <v>0</v>
      </c>
      <c r="Z18" s="299">
        <f t="shared" si="0"/>
        <v>0</v>
      </c>
      <c r="AA18" s="299">
        <f t="shared" si="0"/>
        <v>0</v>
      </c>
      <c r="AB18" s="299">
        <f t="shared" si="0"/>
        <v>0</v>
      </c>
      <c r="AC18" s="299">
        <f t="shared" si="0"/>
        <v>0</v>
      </c>
      <c r="AD18" s="299">
        <f t="shared" si="0"/>
        <v>0</v>
      </c>
      <c r="AE18" s="299">
        <f t="shared" si="0"/>
        <v>0</v>
      </c>
      <c r="AF18" s="27"/>
      <c r="AG18" s="27"/>
    </row>
    <row r="78" spans="35:38">
      <c r="AI78">
        <v>280</v>
      </c>
      <c r="AJ78">
        <v>1436</v>
      </c>
      <c r="AL78">
        <f>AI78/AJ78</f>
        <v>0.194986072423398</v>
      </c>
    </row>
  </sheetData>
  <mergeCells count="5">
    <mergeCell ref="A1:B1"/>
    <mergeCell ref="A2:A3"/>
    <mergeCell ref="A9:A11"/>
    <mergeCell ref="A12:A13"/>
    <mergeCell ref="A16:A17"/>
  </mergeCell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77"/>
  <sheetViews>
    <sheetView workbookViewId="0">
      <pane ySplit="1" topLeftCell="A20" activePane="bottomLeft" state="frozen"/>
      <selection/>
      <selection pane="bottomLeft" activeCell="K13" sqref="A12:K21"/>
    </sheetView>
  </sheetViews>
  <sheetFormatPr defaultColWidth="9" defaultRowHeight="13.5"/>
  <cols>
    <col min="1" max="1" width="10.4416666666667" style="1" customWidth="1"/>
    <col min="2" max="2" width="15.775" style="1" customWidth="1"/>
    <col min="3" max="3" width="13.4416666666667" style="1" customWidth="1"/>
    <col min="4" max="4" width="21.3333333333333" style="1" customWidth="1"/>
    <col min="5" max="5" width="14" style="1" customWidth="1"/>
    <col min="6" max="6" width="20.6666666666667" style="1" customWidth="1"/>
    <col min="7" max="7" width="19.225" style="1" customWidth="1"/>
    <col min="8" max="8" width="12.8916666666667" style="1" customWidth="1"/>
    <col min="9" max="9" width="20.3333333333333" style="1" customWidth="1"/>
    <col min="10" max="10" width="43.225" style="1" customWidth="1"/>
    <col min="11" max="11" width="25.3333333333333" style="1" customWidth="1"/>
    <col min="12" max="16384" width="9" style="1"/>
  </cols>
  <sheetData>
    <row r="1" ht="15" customHeight="1" spans="1:11">
      <c r="A1" s="281" t="s">
        <v>57</v>
      </c>
      <c r="B1" s="281" t="s">
        <v>58</v>
      </c>
      <c r="C1" s="281" t="s">
        <v>59</v>
      </c>
      <c r="D1" s="281" t="s">
        <v>60</v>
      </c>
      <c r="E1" s="281" t="s">
        <v>61</v>
      </c>
      <c r="F1" s="281" t="s">
        <v>62</v>
      </c>
      <c r="G1" s="281" t="s">
        <v>63</v>
      </c>
      <c r="H1" s="281" t="s">
        <v>64</v>
      </c>
      <c r="I1" s="281" t="s">
        <v>65</v>
      </c>
      <c r="J1" s="281" t="s">
        <v>66</v>
      </c>
      <c r="K1" s="281" t="s">
        <v>67</v>
      </c>
    </row>
    <row r="2" s="278" customFormat="1" spans="1:11">
      <c r="A2" s="282">
        <v>44838</v>
      </c>
      <c r="B2" s="283" t="s">
        <v>68</v>
      </c>
      <c r="C2" s="283" t="s">
        <v>69</v>
      </c>
      <c r="D2" s="283" t="s">
        <v>70</v>
      </c>
      <c r="E2" s="283" t="s">
        <v>71</v>
      </c>
      <c r="F2" s="283">
        <v>114</v>
      </c>
      <c r="G2" s="283">
        <v>114</v>
      </c>
      <c r="H2" s="283">
        <v>49</v>
      </c>
      <c r="I2" s="283">
        <v>49</v>
      </c>
      <c r="J2" s="283" t="s">
        <v>72</v>
      </c>
      <c r="K2" s="283"/>
    </row>
    <row r="3" s="278" customFormat="1" spans="1:11">
      <c r="A3" s="282">
        <v>44838</v>
      </c>
      <c r="B3" s="283" t="s">
        <v>68</v>
      </c>
      <c r="C3" s="283" t="s">
        <v>69</v>
      </c>
      <c r="D3" s="283" t="s">
        <v>70</v>
      </c>
      <c r="E3" s="283" t="s">
        <v>71</v>
      </c>
      <c r="F3" s="283">
        <v>114</v>
      </c>
      <c r="G3" s="283">
        <v>114</v>
      </c>
      <c r="H3" s="283">
        <v>49</v>
      </c>
      <c r="I3" s="283">
        <v>49</v>
      </c>
      <c r="J3" s="283" t="s">
        <v>72</v>
      </c>
      <c r="K3" s="283"/>
    </row>
    <row r="4" s="278" customFormat="1" spans="1:11">
      <c r="A4" s="282">
        <v>44838</v>
      </c>
      <c r="B4" s="283" t="s">
        <v>68</v>
      </c>
      <c r="C4" s="283" t="s">
        <v>69</v>
      </c>
      <c r="D4" s="283" t="s">
        <v>70</v>
      </c>
      <c r="E4" s="283" t="s">
        <v>71</v>
      </c>
      <c r="F4" s="283">
        <v>114</v>
      </c>
      <c r="G4" s="283">
        <v>114</v>
      </c>
      <c r="H4" s="283">
        <v>49</v>
      </c>
      <c r="I4" s="283">
        <v>49</v>
      </c>
      <c r="J4" s="283" t="s">
        <v>72</v>
      </c>
      <c r="K4" s="283"/>
    </row>
    <row r="5" s="278" customFormat="1" spans="1:11">
      <c r="A5" s="282">
        <v>44838</v>
      </c>
      <c r="B5" s="283" t="s">
        <v>68</v>
      </c>
      <c r="C5" s="283" t="s">
        <v>69</v>
      </c>
      <c r="D5" s="283" t="s">
        <v>70</v>
      </c>
      <c r="E5" s="283" t="s">
        <v>71</v>
      </c>
      <c r="F5" s="283">
        <v>114</v>
      </c>
      <c r="G5" s="283">
        <v>114</v>
      </c>
      <c r="H5" s="283">
        <v>49</v>
      </c>
      <c r="I5" s="283">
        <v>49</v>
      </c>
      <c r="J5" s="283" t="s">
        <v>72</v>
      </c>
      <c r="K5" s="283"/>
    </row>
    <row r="6" s="278" customFormat="1" spans="1:11">
      <c r="A6" s="282">
        <v>44838</v>
      </c>
      <c r="B6" s="283" t="s">
        <v>68</v>
      </c>
      <c r="C6" s="283" t="s">
        <v>69</v>
      </c>
      <c r="D6" s="283" t="s">
        <v>70</v>
      </c>
      <c r="E6" s="283" t="s">
        <v>71</v>
      </c>
      <c r="F6" s="283">
        <v>114</v>
      </c>
      <c r="G6" s="283">
        <v>114</v>
      </c>
      <c r="H6" s="283">
        <v>49</v>
      </c>
      <c r="I6" s="283">
        <v>49</v>
      </c>
      <c r="J6" s="283" t="s">
        <v>72</v>
      </c>
      <c r="K6" s="283"/>
    </row>
    <row r="7" s="278" customFormat="1" spans="1:11">
      <c r="A7" s="282">
        <v>44838</v>
      </c>
      <c r="B7" s="283" t="s">
        <v>68</v>
      </c>
      <c r="C7" s="283" t="s">
        <v>69</v>
      </c>
      <c r="D7" s="283" t="s">
        <v>73</v>
      </c>
      <c r="E7" s="283" t="s">
        <v>71</v>
      </c>
      <c r="F7" s="283">
        <v>114</v>
      </c>
      <c r="G7" s="283">
        <v>114</v>
      </c>
      <c r="H7" s="283">
        <v>49</v>
      </c>
      <c r="I7" s="283">
        <v>49</v>
      </c>
      <c r="J7" s="283" t="s">
        <v>72</v>
      </c>
      <c r="K7" s="283"/>
    </row>
    <row r="8" s="278" customFormat="1" spans="1:11">
      <c r="A8" s="282">
        <v>44838</v>
      </c>
      <c r="B8" s="283" t="s">
        <v>68</v>
      </c>
      <c r="C8" s="283" t="s">
        <v>69</v>
      </c>
      <c r="D8" s="283" t="s">
        <v>74</v>
      </c>
      <c r="E8" s="283" t="s">
        <v>75</v>
      </c>
      <c r="F8" s="283">
        <v>200</v>
      </c>
      <c r="G8" s="283">
        <v>200</v>
      </c>
      <c r="H8" s="283">
        <v>49</v>
      </c>
      <c r="I8" s="283">
        <v>98</v>
      </c>
      <c r="J8" s="283" t="s">
        <v>76</v>
      </c>
      <c r="K8" s="283"/>
    </row>
    <row r="9" s="278" customFormat="1" spans="1:11">
      <c r="A9" s="282">
        <v>44839</v>
      </c>
      <c r="B9" s="284" t="s">
        <v>68</v>
      </c>
      <c r="C9" s="284" t="s">
        <v>69</v>
      </c>
      <c r="D9" s="285" t="s">
        <v>74</v>
      </c>
      <c r="E9" s="285" t="s">
        <v>77</v>
      </c>
      <c r="F9" s="286">
        <v>150</v>
      </c>
      <c r="G9" s="286">
        <v>150</v>
      </c>
      <c r="H9" s="286">
        <v>27</v>
      </c>
      <c r="I9" s="286">
        <v>27</v>
      </c>
      <c r="J9" s="283" t="s">
        <v>76</v>
      </c>
      <c r="K9" s="283"/>
    </row>
    <row r="10" s="278" customFormat="1" spans="1:11">
      <c r="A10" s="282">
        <v>44839</v>
      </c>
      <c r="B10" s="286" t="s">
        <v>78</v>
      </c>
      <c r="C10" s="286" t="s">
        <v>79</v>
      </c>
      <c r="D10" s="286" t="s">
        <v>80</v>
      </c>
      <c r="E10" s="286" t="s">
        <v>81</v>
      </c>
      <c r="F10" s="286">
        <v>2000</v>
      </c>
      <c r="G10" s="286">
        <v>1500</v>
      </c>
      <c r="H10" s="286">
        <v>23</v>
      </c>
      <c r="I10" s="286">
        <v>57.5</v>
      </c>
      <c r="J10" s="283" t="s">
        <v>72</v>
      </c>
      <c r="K10" s="283"/>
    </row>
    <row r="11" s="278" customFormat="1" spans="1:11">
      <c r="A11" s="282">
        <v>44840</v>
      </c>
      <c r="B11" s="286" t="s">
        <v>68</v>
      </c>
      <c r="C11" s="286" t="s">
        <v>69</v>
      </c>
      <c r="D11" s="286" t="s">
        <v>74</v>
      </c>
      <c r="E11" s="286" t="s">
        <v>82</v>
      </c>
      <c r="F11" s="286">
        <v>100</v>
      </c>
      <c r="G11" s="286">
        <v>100</v>
      </c>
      <c r="H11" s="286">
        <v>53</v>
      </c>
      <c r="I11" s="286">
        <v>26.5</v>
      </c>
      <c r="J11" s="283" t="s">
        <v>76</v>
      </c>
      <c r="K11" s="283"/>
    </row>
    <row r="12" s="278" customFormat="1" spans="1:11">
      <c r="A12" s="282">
        <v>44840</v>
      </c>
      <c r="B12" s="286" t="s">
        <v>68</v>
      </c>
      <c r="C12" s="286" t="s">
        <v>69</v>
      </c>
      <c r="D12" s="286" t="s">
        <v>83</v>
      </c>
      <c r="E12" s="286" t="s">
        <v>84</v>
      </c>
      <c r="F12" s="286">
        <v>305</v>
      </c>
      <c r="G12" s="286">
        <v>305</v>
      </c>
      <c r="H12" s="287">
        <v>53</v>
      </c>
      <c r="I12" s="287">
        <v>450.5</v>
      </c>
      <c r="J12" s="283" t="s">
        <v>72</v>
      </c>
      <c r="K12" s="283"/>
    </row>
    <row r="13" s="278" customFormat="1" spans="1:11">
      <c r="A13" s="282">
        <v>44840</v>
      </c>
      <c r="B13" s="286" t="s">
        <v>68</v>
      </c>
      <c r="C13" s="286" t="s">
        <v>69</v>
      </c>
      <c r="D13" s="286" t="s">
        <v>85</v>
      </c>
      <c r="E13" s="286" t="s">
        <v>84</v>
      </c>
      <c r="F13" s="286">
        <v>305</v>
      </c>
      <c r="G13" s="286">
        <v>305</v>
      </c>
      <c r="H13" s="288"/>
      <c r="I13" s="288"/>
      <c r="J13" s="283" t="s">
        <v>72</v>
      </c>
      <c r="K13" s="283"/>
    </row>
    <row r="14" s="278" customFormat="1" spans="1:11">
      <c r="A14" s="282">
        <v>44840</v>
      </c>
      <c r="B14" s="286" t="s">
        <v>68</v>
      </c>
      <c r="C14" s="286" t="s">
        <v>69</v>
      </c>
      <c r="D14" s="286" t="s">
        <v>86</v>
      </c>
      <c r="E14" s="286" t="s">
        <v>84</v>
      </c>
      <c r="F14" s="286">
        <v>305</v>
      </c>
      <c r="G14" s="286">
        <v>305</v>
      </c>
      <c r="H14" s="288"/>
      <c r="I14" s="288"/>
      <c r="J14" s="283" t="s">
        <v>72</v>
      </c>
      <c r="K14" s="283"/>
    </row>
    <row r="15" s="278" customFormat="1" spans="1:11">
      <c r="A15" s="282">
        <v>44840</v>
      </c>
      <c r="B15" s="286" t="s">
        <v>68</v>
      </c>
      <c r="C15" s="286" t="s">
        <v>69</v>
      </c>
      <c r="D15" s="286" t="s">
        <v>87</v>
      </c>
      <c r="E15" s="286" t="s">
        <v>84</v>
      </c>
      <c r="F15" s="286">
        <v>305</v>
      </c>
      <c r="G15" s="286">
        <v>305</v>
      </c>
      <c r="H15" s="288"/>
      <c r="I15" s="288"/>
      <c r="J15" s="283" t="s">
        <v>72</v>
      </c>
      <c r="K15" s="283"/>
    </row>
    <row r="16" s="278" customFormat="1" spans="1:11">
      <c r="A16" s="282">
        <v>44840</v>
      </c>
      <c r="B16" s="286" t="s">
        <v>68</v>
      </c>
      <c r="C16" s="286" t="s">
        <v>69</v>
      </c>
      <c r="D16" s="286" t="s">
        <v>88</v>
      </c>
      <c r="E16" s="286" t="s">
        <v>84</v>
      </c>
      <c r="F16" s="286">
        <v>305</v>
      </c>
      <c r="G16" s="286">
        <v>305</v>
      </c>
      <c r="H16" s="288"/>
      <c r="I16" s="288"/>
      <c r="J16" s="283" t="s">
        <v>72</v>
      </c>
      <c r="K16" s="283"/>
    </row>
    <row r="17" s="278" customFormat="1" spans="1:11">
      <c r="A17" s="282">
        <v>44840</v>
      </c>
      <c r="B17" s="286" t="s">
        <v>68</v>
      </c>
      <c r="C17" s="286" t="s">
        <v>69</v>
      </c>
      <c r="D17" s="286" t="s">
        <v>89</v>
      </c>
      <c r="E17" s="286" t="s">
        <v>84</v>
      </c>
      <c r="F17" s="286">
        <v>305</v>
      </c>
      <c r="G17" s="286">
        <v>305</v>
      </c>
      <c r="H17" s="288"/>
      <c r="I17" s="288"/>
      <c r="J17" s="283" t="s">
        <v>72</v>
      </c>
      <c r="K17" s="283"/>
    </row>
    <row r="18" s="278" customFormat="1" spans="1:11">
      <c r="A18" s="282">
        <v>44840</v>
      </c>
      <c r="B18" s="286" t="s">
        <v>68</v>
      </c>
      <c r="C18" s="286" t="s">
        <v>69</v>
      </c>
      <c r="D18" s="286" t="s">
        <v>90</v>
      </c>
      <c r="E18" s="286" t="s">
        <v>84</v>
      </c>
      <c r="F18" s="286">
        <v>305</v>
      </c>
      <c r="G18" s="286">
        <v>305</v>
      </c>
      <c r="H18" s="288"/>
      <c r="I18" s="288"/>
      <c r="J18" s="283" t="s">
        <v>72</v>
      </c>
      <c r="K18" s="283"/>
    </row>
    <row r="19" s="278" customFormat="1" spans="1:11">
      <c r="A19" s="282">
        <v>44840</v>
      </c>
      <c r="B19" s="286" t="s">
        <v>68</v>
      </c>
      <c r="C19" s="286" t="s">
        <v>69</v>
      </c>
      <c r="D19" s="286" t="s">
        <v>91</v>
      </c>
      <c r="E19" s="286" t="s">
        <v>84</v>
      </c>
      <c r="F19" s="286">
        <v>305</v>
      </c>
      <c r="G19" s="286">
        <v>305</v>
      </c>
      <c r="H19" s="288"/>
      <c r="I19" s="288"/>
      <c r="J19" s="283" t="s">
        <v>72</v>
      </c>
      <c r="K19" s="283"/>
    </row>
    <row r="20" s="278" customFormat="1" spans="1:11">
      <c r="A20" s="282">
        <v>44840</v>
      </c>
      <c r="B20" s="286" t="s">
        <v>68</v>
      </c>
      <c r="C20" s="286" t="s">
        <v>69</v>
      </c>
      <c r="D20" s="286" t="s">
        <v>92</v>
      </c>
      <c r="E20" s="286" t="s">
        <v>84</v>
      </c>
      <c r="F20" s="286">
        <v>305</v>
      </c>
      <c r="G20" s="286">
        <v>305</v>
      </c>
      <c r="H20" s="288"/>
      <c r="I20" s="288"/>
      <c r="J20" s="283" t="s">
        <v>72</v>
      </c>
      <c r="K20" s="283"/>
    </row>
    <row r="21" s="278" customFormat="1" spans="1:11">
      <c r="A21" s="282">
        <v>44840</v>
      </c>
      <c r="B21" s="286" t="s">
        <v>68</v>
      </c>
      <c r="C21" s="286" t="s">
        <v>69</v>
      </c>
      <c r="D21" s="286" t="s">
        <v>93</v>
      </c>
      <c r="E21" s="286" t="s">
        <v>84</v>
      </c>
      <c r="F21" s="286">
        <v>305</v>
      </c>
      <c r="G21" s="286">
        <v>305</v>
      </c>
      <c r="H21" s="289"/>
      <c r="I21" s="289"/>
      <c r="J21" s="283" t="s">
        <v>72</v>
      </c>
      <c r="K21" s="283"/>
    </row>
    <row r="22" s="278" customFormat="1" spans="1:11">
      <c r="A22" s="282">
        <v>44840</v>
      </c>
      <c r="B22" s="286" t="s">
        <v>68</v>
      </c>
      <c r="C22" s="286" t="s">
        <v>69</v>
      </c>
      <c r="D22" s="286" t="s">
        <v>94</v>
      </c>
      <c r="E22" s="286" t="s">
        <v>95</v>
      </c>
      <c r="F22" s="286">
        <v>500</v>
      </c>
      <c r="G22" s="286">
        <v>500</v>
      </c>
      <c r="H22" s="286">
        <v>53</v>
      </c>
      <c r="I22" s="286">
        <v>88</v>
      </c>
      <c r="J22" s="283" t="s">
        <v>72</v>
      </c>
      <c r="K22" s="283"/>
    </row>
    <row r="23" s="278" customFormat="1" spans="1:11">
      <c r="A23" s="282">
        <v>44841</v>
      </c>
      <c r="B23" s="286" t="s">
        <v>96</v>
      </c>
      <c r="C23" s="286" t="s">
        <v>97</v>
      </c>
      <c r="D23" s="286" t="s">
        <v>98</v>
      </c>
      <c r="E23" s="286" t="s">
        <v>71</v>
      </c>
      <c r="F23" s="286">
        <v>108</v>
      </c>
      <c r="G23" s="286">
        <v>108</v>
      </c>
      <c r="H23" s="287">
        <v>23</v>
      </c>
      <c r="I23" s="287">
        <v>149.5</v>
      </c>
      <c r="J23" s="283" t="s">
        <v>72</v>
      </c>
      <c r="K23" s="283"/>
    </row>
    <row r="24" s="278" customFormat="1" spans="1:11">
      <c r="A24" s="282">
        <v>44841</v>
      </c>
      <c r="B24" s="286" t="s">
        <v>96</v>
      </c>
      <c r="C24" s="286" t="s">
        <v>97</v>
      </c>
      <c r="D24" s="286" t="s">
        <v>99</v>
      </c>
      <c r="E24" s="286" t="s">
        <v>71</v>
      </c>
      <c r="F24" s="286">
        <v>108</v>
      </c>
      <c r="G24" s="286">
        <v>108</v>
      </c>
      <c r="H24" s="288"/>
      <c r="I24" s="288"/>
      <c r="J24" s="283" t="s">
        <v>72</v>
      </c>
      <c r="K24" s="283"/>
    </row>
    <row r="25" s="278" customFormat="1" spans="1:11">
      <c r="A25" s="282">
        <v>44841</v>
      </c>
      <c r="B25" s="286" t="s">
        <v>96</v>
      </c>
      <c r="C25" s="286" t="s">
        <v>97</v>
      </c>
      <c r="D25" s="286" t="s">
        <v>100</v>
      </c>
      <c r="E25" s="286" t="s">
        <v>71</v>
      </c>
      <c r="F25" s="286">
        <v>108</v>
      </c>
      <c r="G25" s="286">
        <v>108</v>
      </c>
      <c r="H25" s="288"/>
      <c r="I25" s="288"/>
      <c r="J25" s="283" t="s">
        <v>72</v>
      </c>
      <c r="K25" s="283"/>
    </row>
    <row r="26" s="278" customFormat="1" spans="1:11">
      <c r="A26" s="282">
        <v>44841</v>
      </c>
      <c r="B26" s="286" t="s">
        <v>96</v>
      </c>
      <c r="C26" s="286" t="s">
        <v>97</v>
      </c>
      <c r="D26" s="286" t="s">
        <v>101</v>
      </c>
      <c r="E26" s="286" t="s">
        <v>71</v>
      </c>
      <c r="F26" s="286">
        <v>108</v>
      </c>
      <c r="G26" s="286">
        <v>108</v>
      </c>
      <c r="H26" s="288"/>
      <c r="I26" s="288"/>
      <c r="J26" s="283" t="s">
        <v>72</v>
      </c>
      <c r="K26" s="283"/>
    </row>
    <row r="27" s="278" customFormat="1" spans="1:11">
      <c r="A27" s="282">
        <v>44841</v>
      </c>
      <c r="B27" s="286" t="s">
        <v>96</v>
      </c>
      <c r="C27" s="286" t="s">
        <v>97</v>
      </c>
      <c r="D27" s="286" t="s">
        <v>102</v>
      </c>
      <c r="E27" s="286" t="s">
        <v>71</v>
      </c>
      <c r="F27" s="286">
        <v>108</v>
      </c>
      <c r="G27" s="286">
        <v>108</v>
      </c>
      <c r="H27" s="288"/>
      <c r="I27" s="288"/>
      <c r="J27" s="283" t="s">
        <v>72</v>
      </c>
      <c r="K27" s="283"/>
    </row>
    <row r="28" s="278" customFormat="1" spans="1:11">
      <c r="A28" s="282">
        <v>44841</v>
      </c>
      <c r="B28" s="286" t="s">
        <v>96</v>
      </c>
      <c r="C28" s="286" t="s">
        <v>97</v>
      </c>
      <c r="D28" s="286" t="s">
        <v>103</v>
      </c>
      <c r="E28" s="286" t="s">
        <v>71</v>
      </c>
      <c r="F28" s="286">
        <v>108</v>
      </c>
      <c r="G28" s="286">
        <v>108</v>
      </c>
      <c r="H28" s="289"/>
      <c r="I28" s="289"/>
      <c r="J28" s="283" t="s">
        <v>72</v>
      </c>
      <c r="K28" s="283"/>
    </row>
    <row r="29" s="278" customFormat="1" spans="1:11">
      <c r="A29" s="282">
        <v>44841</v>
      </c>
      <c r="B29" s="286" t="s">
        <v>68</v>
      </c>
      <c r="C29" s="286" t="s">
        <v>69</v>
      </c>
      <c r="D29" s="286" t="s">
        <v>104</v>
      </c>
      <c r="E29" s="286" t="s">
        <v>105</v>
      </c>
      <c r="F29" s="286">
        <v>200</v>
      </c>
      <c r="G29" s="286">
        <v>200</v>
      </c>
      <c r="H29" s="286">
        <v>50</v>
      </c>
      <c r="I29" s="286">
        <v>50</v>
      </c>
      <c r="J29" s="283" t="s">
        <v>72</v>
      </c>
      <c r="K29" s="283"/>
    </row>
    <row r="30" s="278" customFormat="1" spans="1:11">
      <c r="A30" s="282">
        <v>44841</v>
      </c>
      <c r="B30" s="286" t="s">
        <v>68</v>
      </c>
      <c r="C30" s="286" t="s">
        <v>69</v>
      </c>
      <c r="D30" s="286" t="s">
        <v>106</v>
      </c>
      <c r="E30" s="286" t="s">
        <v>107</v>
      </c>
      <c r="F30" s="286">
        <v>200</v>
      </c>
      <c r="G30" s="286">
        <v>200</v>
      </c>
      <c r="H30" s="286">
        <v>50</v>
      </c>
      <c r="I30" s="286">
        <v>50</v>
      </c>
      <c r="J30" s="283" t="s">
        <v>72</v>
      </c>
      <c r="K30" s="283"/>
    </row>
    <row r="31" s="278" customFormat="1" spans="1:11">
      <c r="A31" s="282">
        <v>44841</v>
      </c>
      <c r="B31" s="286" t="s">
        <v>68</v>
      </c>
      <c r="C31" s="286" t="s">
        <v>69</v>
      </c>
      <c r="D31" s="286" t="s">
        <v>108</v>
      </c>
      <c r="E31" s="286" t="s">
        <v>109</v>
      </c>
      <c r="F31" s="286">
        <v>200</v>
      </c>
      <c r="G31" s="286">
        <v>200</v>
      </c>
      <c r="H31" s="286">
        <v>50</v>
      </c>
      <c r="I31" s="286">
        <v>50</v>
      </c>
      <c r="J31" s="283" t="s">
        <v>72</v>
      </c>
      <c r="K31" s="283"/>
    </row>
    <row r="32" s="278" customFormat="1" spans="1:11">
      <c r="A32" s="282">
        <v>44841</v>
      </c>
      <c r="B32" s="286" t="s">
        <v>68</v>
      </c>
      <c r="C32" s="286" t="s">
        <v>69</v>
      </c>
      <c r="D32" s="286" t="s">
        <v>110</v>
      </c>
      <c r="E32" s="286" t="s">
        <v>77</v>
      </c>
      <c r="F32" s="286">
        <v>205</v>
      </c>
      <c r="G32" s="286">
        <v>205</v>
      </c>
      <c r="H32" s="287">
        <v>50</v>
      </c>
      <c r="I32" s="287">
        <v>397</v>
      </c>
      <c r="J32" s="283" t="s">
        <v>72</v>
      </c>
      <c r="K32" s="283"/>
    </row>
    <row r="33" s="278" customFormat="1" spans="1:11">
      <c r="A33" s="282">
        <v>44841</v>
      </c>
      <c r="B33" s="286" t="s">
        <v>68</v>
      </c>
      <c r="C33" s="286" t="s">
        <v>69</v>
      </c>
      <c r="D33" s="286" t="s">
        <v>111</v>
      </c>
      <c r="E33" s="286" t="s">
        <v>77</v>
      </c>
      <c r="F33" s="286">
        <v>205</v>
      </c>
      <c r="G33" s="286">
        <v>205</v>
      </c>
      <c r="H33" s="288"/>
      <c r="I33" s="288"/>
      <c r="J33" s="283" t="s">
        <v>72</v>
      </c>
      <c r="K33" s="283"/>
    </row>
    <row r="34" s="278" customFormat="1" spans="1:11">
      <c r="A34" s="282">
        <v>44841</v>
      </c>
      <c r="B34" s="286" t="s">
        <v>68</v>
      </c>
      <c r="C34" s="286" t="s">
        <v>69</v>
      </c>
      <c r="D34" s="286" t="s">
        <v>112</v>
      </c>
      <c r="E34" s="286" t="s">
        <v>77</v>
      </c>
      <c r="F34" s="286">
        <v>205</v>
      </c>
      <c r="G34" s="286">
        <v>205</v>
      </c>
      <c r="H34" s="288"/>
      <c r="I34" s="288"/>
      <c r="J34" s="283" t="s">
        <v>72</v>
      </c>
      <c r="K34" s="283"/>
    </row>
    <row r="35" s="278" customFormat="1" spans="1:11">
      <c r="A35" s="282">
        <v>44841</v>
      </c>
      <c r="B35" s="286" t="s">
        <v>68</v>
      </c>
      <c r="C35" s="286" t="s">
        <v>69</v>
      </c>
      <c r="D35" s="286" t="s">
        <v>113</v>
      </c>
      <c r="E35" s="286" t="s">
        <v>77</v>
      </c>
      <c r="F35" s="286">
        <v>205</v>
      </c>
      <c r="G35" s="286">
        <v>205</v>
      </c>
      <c r="H35" s="288"/>
      <c r="I35" s="288"/>
      <c r="J35" s="283" t="s">
        <v>72</v>
      </c>
      <c r="K35" s="283"/>
    </row>
    <row r="36" s="278" customFormat="1" spans="1:11">
      <c r="A36" s="282">
        <v>44841</v>
      </c>
      <c r="B36" s="286" t="s">
        <v>68</v>
      </c>
      <c r="C36" s="286" t="s">
        <v>69</v>
      </c>
      <c r="D36" s="286" t="s">
        <v>114</v>
      </c>
      <c r="E36" s="286" t="s">
        <v>77</v>
      </c>
      <c r="F36" s="286">
        <v>205</v>
      </c>
      <c r="G36" s="286">
        <v>205</v>
      </c>
      <c r="H36" s="288"/>
      <c r="I36" s="288"/>
      <c r="J36" s="283" t="s">
        <v>72</v>
      </c>
      <c r="K36" s="283"/>
    </row>
    <row r="37" s="278" customFormat="1" spans="1:11">
      <c r="A37" s="282">
        <v>44841</v>
      </c>
      <c r="B37" s="286" t="s">
        <v>68</v>
      </c>
      <c r="C37" s="286" t="s">
        <v>69</v>
      </c>
      <c r="D37" s="286" t="s">
        <v>115</v>
      </c>
      <c r="E37" s="286" t="s">
        <v>77</v>
      </c>
      <c r="F37" s="286">
        <v>205</v>
      </c>
      <c r="G37" s="286">
        <v>205</v>
      </c>
      <c r="H37" s="288"/>
      <c r="I37" s="288"/>
      <c r="J37" s="283" t="s">
        <v>72</v>
      </c>
      <c r="K37" s="283"/>
    </row>
    <row r="38" s="278" customFormat="1" spans="1:11">
      <c r="A38" s="282">
        <v>44841</v>
      </c>
      <c r="B38" s="286" t="s">
        <v>68</v>
      </c>
      <c r="C38" s="286" t="s">
        <v>69</v>
      </c>
      <c r="D38" s="286" t="s">
        <v>116</v>
      </c>
      <c r="E38" s="286" t="s">
        <v>77</v>
      </c>
      <c r="F38" s="286">
        <v>205</v>
      </c>
      <c r="G38" s="286">
        <v>205</v>
      </c>
      <c r="H38" s="289"/>
      <c r="I38" s="289"/>
      <c r="J38" s="283" t="s">
        <v>72</v>
      </c>
      <c r="K38" s="283"/>
    </row>
    <row r="39" s="279" customFormat="1" ht="12" customHeight="1" spans="1:11">
      <c r="A39" s="283"/>
      <c r="B39" s="283" t="s">
        <v>117</v>
      </c>
      <c r="C39" s="283"/>
      <c r="D39" s="283"/>
      <c r="E39" s="283"/>
      <c r="F39" s="283"/>
      <c r="G39" s="283"/>
      <c r="H39" s="283"/>
      <c r="I39" s="290">
        <f>SUBTOTAL(9,I2:I38)</f>
        <v>1738</v>
      </c>
      <c r="J39" s="283"/>
      <c r="K39" s="283"/>
    </row>
    <row r="40" ht="15" customHeight="1"/>
    <row r="41" ht="15" customHeight="1"/>
    <row r="42" ht="15" customHeight="1"/>
    <row r="43" ht="15" customHeight="1"/>
    <row r="44" ht="15" customHeight="1"/>
    <row r="45" ht="15" customHeight="1"/>
    <row r="118" s="278" customFormat="1"/>
    <row r="119" s="1" customFormat="1" ht="13.95" customHeight="1"/>
    <row r="120" s="1" customFormat="1" ht="13.95" customHeight="1"/>
    <row r="121" s="1" customFormat="1" ht="13.95" customHeight="1"/>
    <row r="122" s="1" customFormat="1" ht="13.95" customHeight="1"/>
    <row r="123" s="1" customFormat="1" ht="13.95" customHeight="1"/>
    <row r="124" s="1" customFormat="1" ht="13.95" customHeight="1"/>
    <row r="125" s="1" customFormat="1" ht="13.95" customHeight="1"/>
    <row r="126" s="1" customFormat="1" ht="13.95" customHeight="1"/>
    <row r="127" s="1" customFormat="1" ht="13.95" customHeight="1"/>
    <row r="128" s="1" customFormat="1" ht="13.95" customHeight="1"/>
    <row r="129" s="1" customFormat="1" ht="13.95" customHeight="1"/>
    <row r="130" s="1" customFormat="1" ht="13.95" customHeight="1"/>
    <row r="131" s="1" customFormat="1" ht="13.95" customHeight="1"/>
    <row r="132" s="280" customFormat="1" ht="13.95" customHeight="1"/>
    <row r="137" s="280" customFormat="1"/>
    <row r="138" s="279" customFormat="1"/>
    <row r="139" s="279" customFormat="1"/>
    <row r="140" s="279" customFormat="1"/>
    <row r="141" s="279" customFormat="1"/>
    <row r="142" s="279" customFormat="1"/>
    <row r="143" s="279" customFormat="1"/>
    <row r="144" s="279" customFormat="1"/>
    <row r="145" s="279" customFormat="1"/>
    <row r="146" s="279" customFormat="1"/>
    <row r="147" s="279" customFormat="1"/>
    <row r="148" s="279" customFormat="1"/>
    <row r="149" s="279" customFormat="1"/>
    <row r="150" s="279" customFormat="1"/>
    <row r="151" s="279" customFormat="1"/>
    <row r="152" s="279" customFormat="1"/>
    <row r="153" s="279" customFormat="1"/>
    <row r="154" s="280" customFormat="1"/>
    <row r="155" s="279" customFormat="1"/>
    <row r="156" s="279" customFormat="1"/>
    <row r="157" s="279" customFormat="1"/>
    <row r="158" s="279" customFormat="1"/>
    <row r="159" s="279" customFormat="1"/>
    <row r="160" s="279" customFormat="1"/>
    <row r="161" s="279" customFormat="1"/>
    <row r="162" s="279" customFormat="1"/>
    <row r="163" s="278" customFormat="1"/>
    <row r="164" s="279" customFormat="1"/>
    <row r="165" s="279" customFormat="1"/>
    <row r="166" s="278" customFormat="1"/>
    <row r="167" s="279" customFormat="1"/>
    <row r="168" s="279" customFormat="1"/>
    <row r="169" s="279" customFormat="1"/>
    <row r="170" s="279" customFormat="1"/>
    <row r="171" s="279" customFormat="1"/>
    <row r="172" s="279" customFormat="1"/>
    <row r="173" s="279" customFormat="1"/>
    <row r="174" s="279" customFormat="1"/>
    <row r="175" s="279" customFormat="1"/>
    <row r="176" s="279" customFormat="1"/>
    <row r="177" s="279" customFormat="1"/>
    <row r="178" s="279" customFormat="1"/>
    <row r="179" s="279" customFormat="1"/>
    <row r="180" s="279" customFormat="1"/>
    <row r="181" s="279" customFormat="1"/>
    <row r="182" s="279" customFormat="1"/>
    <row r="183" s="279" customFormat="1"/>
    <row r="184" s="279" customFormat="1"/>
    <row r="185" s="279" customFormat="1"/>
    <row r="186" s="278" customFormat="1"/>
    <row r="187" s="279" customFormat="1"/>
    <row r="188" s="279" customFormat="1"/>
    <row r="189" s="279" customFormat="1"/>
    <row r="190" s="279" customFormat="1"/>
    <row r="191" s="279" customFormat="1"/>
    <row r="192" s="279" customFormat="1"/>
    <row r="193" s="279" customFormat="1"/>
    <row r="194" s="279" customFormat="1"/>
    <row r="195" s="279" customFormat="1"/>
    <row r="196" s="279" customFormat="1"/>
    <row r="197" s="279" customFormat="1"/>
    <row r="198" s="279" customFormat="1"/>
    <row r="199" s="279" customFormat="1"/>
    <row r="200" s="279" customFormat="1"/>
    <row r="201" s="279" customFormat="1"/>
    <row r="202" s="279" customFormat="1"/>
    <row r="203" s="279" customFormat="1"/>
    <row r="204" s="279" customFormat="1"/>
    <row r="205" s="279" customFormat="1"/>
    <row r="206" s="278" customFormat="1"/>
    <row r="207" s="278" customFormat="1"/>
    <row r="208" s="278" customFormat="1"/>
    <row r="209" s="278" customFormat="1"/>
    <row r="210" s="278" customFormat="1"/>
    <row r="211" s="278" customFormat="1"/>
    <row r="212" s="278" customFormat="1"/>
    <row r="213" s="278" customFormat="1"/>
    <row r="214" s="278" customFormat="1"/>
    <row r="215" s="278" customFormat="1"/>
    <row r="216" s="278" customFormat="1"/>
    <row r="217" s="278" customFormat="1"/>
    <row r="218" s="278" customFormat="1"/>
    <row r="219" s="278" customFormat="1"/>
    <row r="220" s="278" customFormat="1"/>
    <row r="221" s="278" customFormat="1"/>
    <row r="222" s="278" customFormat="1"/>
    <row r="223" s="278" customFormat="1"/>
    <row r="224" s="278" customFormat="1"/>
    <row r="225" s="278" customFormat="1"/>
    <row r="226" s="278" customFormat="1"/>
    <row r="227" s="278" customFormat="1"/>
    <row r="228" s="278" customFormat="1"/>
    <row r="229" s="278" customFormat="1"/>
    <row r="230" s="278" customFormat="1"/>
    <row r="231" s="278" customFormat="1"/>
    <row r="232" s="278" customFormat="1"/>
    <row r="233" s="278" customFormat="1"/>
    <row r="234" s="278" customFormat="1"/>
    <row r="235" s="278" customFormat="1"/>
    <row r="236" s="278" customFormat="1"/>
    <row r="237" s="278" customFormat="1"/>
    <row r="238" s="278" customFormat="1"/>
    <row r="239" s="278" customFormat="1"/>
    <row r="240" s="278" customFormat="1"/>
    <row r="241" s="278" customFormat="1"/>
    <row r="242" s="278" customFormat="1"/>
    <row r="243" s="278" customFormat="1"/>
    <row r="244" s="278" customFormat="1"/>
    <row r="245" s="278" customFormat="1"/>
    <row r="246" s="278" customFormat="1"/>
    <row r="247" s="278" customFormat="1"/>
    <row r="248" s="278" customFormat="1"/>
    <row r="249" s="278" customFormat="1"/>
    <row r="250" s="278" customFormat="1"/>
    <row r="251" s="278" customFormat="1"/>
    <row r="252" s="278" customFormat="1"/>
    <row r="253" s="278" customFormat="1"/>
    <row r="254" s="278" customFormat="1"/>
    <row r="255" s="278" customFormat="1"/>
    <row r="256" s="278" customFormat="1"/>
    <row r="257" s="278" customFormat="1"/>
    <row r="258" s="278" customFormat="1"/>
    <row r="259" s="278" customFormat="1"/>
    <row r="260" s="278" customFormat="1"/>
    <row r="261" s="278" customFormat="1"/>
    <row r="262" s="278" customFormat="1"/>
    <row r="263" s="278" customFormat="1"/>
    <row r="264" s="278" customFormat="1"/>
    <row r="265" s="278" customFormat="1"/>
    <row r="266" s="278" customFormat="1"/>
    <row r="267" s="278" customFormat="1"/>
    <row r="268" s="278" customFormat="1"/>
    <row r="269" s="278" customFormat="1"/>
    <row r="270" s="278" customFormat="1"/>
    <row r="271" s="278" customFormat="1"/>
    <row r="272" s="278" customFormat="1"/>
    <row r="273" s="278" customFormat="1"/>
    <row r="274" s="278" customFormat="1"/>
    <row r="275" s="278" customFormat="1"/>
    <row r="276" s="278" customFormat="1"/>
    <row r="277" s="278" customFormat="1"/>
    <row r="278" s="278" customFormat="1"/>
    <row r="279" s="278" customFormat="1"/>
    <row r="280" s="278" customFormat="1"/>
    <row r="281" s="278" customFormat="1"/>
    <row r="282" s="278" customFormat="1"/>
    <row r="283" s="278" customFormat="1"/>
    <row r="284" s="278" customFormat="1"/>
    <row r="285" s="278" customFormat="1"/>
    <row r="286" s="278" customFormat="1"/>
    <row r="287" s="278" customFormat="1"/>
    <row r="288" s="278" customFormat="1"/>
    <row r="289" s="278" customFormat="1"/>
    <row r="290" s="278" customFormat="1"/>
    <row r="291" s="278" customFormat="1"/>
    <row r="292" s="278" customFormat="1"/>
    <row r="293" s="278" customFormat="1"/>
    <row r="294" s="278" customFormat="1"/>
    <row r="295" s="278" customFormat="1"/>
    <row r="296" s="278" customFormat="1"/>
    <row r="297" s="278" customFormat="1"/>
    <row r="298" s="278" customFormat="1"/>
    <row r="299" s="278" customFormat="1"/>
    <row r="300" s="278" customFormat="1"/>
    <row r="301" s="278" customFormat="1"/>
    <row r="302" s="278" customFormat="1"/>
    <row r="303" s="278" customFormat="1"/>
    <row r="304" s="278" customFormat="1"/>
    <row r="305" s="278" customFormat="1"/>
    <row r="306" s="278" customFormat="1"/>
    <row r="307" s="278" customFormat="1"/>
    <row r="308" s="278" customFormat="1"/>
    <row r="309" s="278" customFormat="1"/>
    <row r="310" s="278" customFormat="1"/>
    <row r="311" s="278" customFormat="1"/>
    <row r="312" s="278" customFormat="1"/>
    <row r="313" s="278" customFormat="1"/>
    <row r="314" s="278" customFormat="1"/>
    <row r="315" s="278" customFormat="1"/>
    <row r="316" s="278" customFormat="1"/>
    <row r="317" s="278" customFormat="1"/>
    <row r="318" s="278" customFormat="1"/>
    <row r="319" s="278" customFormat="1"/>
    <row r="320" s="278" customFormat="1"/>
    <row r="321" s="278" customFormat="1"/>
    <row r="322" s="278" customFormat="1"/>
    <row r="323" s="278" customFormat="1"/>
    <row r="324" s="278" customFormat="1"/>
    <row r="325" s="278" customFormat="1"/>
    <row r="326" s="278" customFormat="1"/>
    <row r="327" s="278" customFormat="1"/>
    <row r="328" s="278" customFormat="1"/>
    <row r="329" s="278" customFormat="1"/>
    <row r="330" s="278" customFormat="1"/>
    <row r="331" s="278" customFormat="1"/>
    <row r="332" s="278" customFormat="1"/>
    <row r="333" s="278" customFormat="1"/>
    <row r="334" s="278" customFormat="1"/>
    <row r="335" s="278" customFormat="1"/>
    <row r="336" s="278" customFormat="1"/>
    <row r="337" s="278" customFormat="1"/>
    <row r="338" s="278" customFormat="1"/>
    <row r="339" s="278" customFormat="1"/>
    <row r="340" s="278" customFormat="1"/>
    <row r="341" s="278" customFormat="1"/>
    <row r="342" s="278" customFormat="1"/>
    <row r="343" s="278" customFormat="1"/>
    <row r="344" s="278" customFormat="1"/>
    <row r="345" s="278" customFormat="1"/>
    <row r="346" s="278" customFormat="1"/>
    <row r="347" s="278" customFormat="1"/>
    <row r="348" s="278" customFormat="1"/>
    <row r="349" s="278" customFormat="1"/>
    <row r="350" s="278" customFormat="1"/>
    <row r="351" s="278" customFormat="1"/>
    <row r="352" s="278" customFormat="1"/>
    <row r="353" s="278" customFormat="1"/>
    <row r="354" s="278" customFormat="1"/>
    <row r="355" s="278" customFormat="1"/>
    <row r="356" s="278" customFormat="1"/>
    <row r="357" s="278" customFormat="1"/>
    <row r="358" s="278" customFormat="1"/>
    <row r="359" s="278" customFormat="1"/>
    <row r="360" s="278" customFormat="1"/>
    <row r="361" s="278" customFormat="1"/>
    <row r="362" s="278" customFormat="1"/>
    <row r="363" s="278" customFormat="1"/>
    <row r="364" s="278" customFormat="1"/>
    <row r="365" s="278" customFormat="1"/>
    <row r="366" s="278" customFormat="1"/>
    <row r="367" s="278" customFormat="1"/>
    <row r="368" s="278" customFormat="1"/>
    <row r="369" s="278" customFormat="1"/>
    <row r="370" s="278" customFormat="1"/>
    <row r="371" s="278" customFormat="1"/>
    <row r="372" s="278" customFormat="1"/>
    <row r="373" s="278" customFormat="1"/>
    <row r="374" s="278" customFormat="1"/>
    <row r="375" s="278" customFormat="1"/>
    <row r="376" s="278" customFormat="1"/>
    <row r="377" s="278" customFormat="1"/>
    <row r="378" s="278" customFormat="1"/>
    <row r="379" s="278" customFormat="1"/>
    <row r="380" s="278" customFormat="1"/>
    <row r="381" s="278" customFormat="1"/>
    <row r="382" s="278" customFormat="1"/>
    <row r="383" s="278" customFormat="1"/>
    <row r="384" s="278" customFormat="1"/>
    <row r="385" s="278" customFormat="1"/>
    <row r="386" s="278" customFormat="1"/>
    <row r="387" s="278" customFormat="1"/>
    <row r="388" s="278" customFormat="1"/>
    <row r="389" s="278" customFormat="1"/>
    <row r="390" s="278" customFormat="1"/>
    <row r="391" s="278" customFormat="1"/>
    <row r="392" s="278" customFormat="1"/>
    <row r="393" s="278" customFormat="1"/>
    <row r="394" s="278" customFormat="1"/>
    <row r="395" s="278" customFormat="1"/>
    <row r="396" s="278" customFormat="1"/>
    <row r="397" s="278" customFormat="1"/>
    <row r="398" s="278" customFormat="1"/>
    <row r="399" s="278" customFormat="1"/>
    <row r="400" s="278" customFormat="1"/>
    <row r="401" s="278" customFormat="1"/>
    <row r="402" s="278" customFormat="1"/>
    <row r="403" s="278" customFormat="1"/>
    <row r="404" s="278" customFormat="1"/>
    <row r="405" s="278" customFormat="1"/>
    <row r="406" s="278" customFormat="1"/>
    <row r="407" s="278" customFormat="1"/>
    <row r="408" s="278" customFormat="1"/>
    <row r="409" s="278" customFormat="1"/>
    <row r="410" s="278" customFormat="1"/>
    <row r="411" s="278" customFormat="1"/>
    <row r="412" s="278" customFormat="1"/>
    <row r="413" s="278" customFormat="1"/>
    <row r="414" s="278" customFormat="1"/>
    <row r="415" s="278" customFormat="1"/>
    <row r="416" s="278" customFormat="1"/>
    <row r="417" s="278" customFormat="1"/>
    <row r="418" s="278" customFormat="1"/>
    <row r="419" s="278" customFormat="1"/>
    <row r="420" s="278" customFormat="1"/>
    <row r="421" s="278" customFormat="1"/>
    <row r="422" s="278" customFormat="1"/>
    <row r="423" s="278" customFormat="1"/>
    <row r="424" s="278" customFormat="1"/>
    <row r="425" s="278" customFormat="1"/>
    <row r="426" s="278" customFormat="1"/>
    <row r="427" s="278" customFormat="1"/>
    <row r="428" s="278" customFormat="1"/>
    <row r="429" s="278" customFormat="1"/>
    <row r="430" s="278" customFormat="1"/>
    <row r="431" s="278" customFormat="1"/>
    <row r="432" s="278" customFormat="1"/>
    <row r="433" s="278" customFormat="1"/>
    <row r="434" s="278" customFormat="1"/>
    <row r="435" s="278" customFormat="1"/>
    <row r="436" s="278" customFormat="1"/>
    <row r="437" s="278" customFormat="1"/>
    <row r="438" s="278" customFormat="1"/>
    <row r="439" s="278" customFormat="1"/>
    <row r="440" s="278" customFormat="1"/>
    <row r="441" s="278" customFormat="1"/>
    <row r="442" s="278" customFormat="1"/>
    <row r="443" s="278" customFormat="1"/>
    <row r="444" s="278" customFormat="1"/>
    <row r="445" s="278" customFormat="1"/>
    <row r="446" s="278" customFormat="1"/>
    <row r="447" s="278" customFormat="1"/>
    <row r="448" s="278" customFormat="1"/>
    <row r="449" s="278" customFormat="1"/>
    <row r="450" s="278" customFormat="1"/>
    <row r="451" s="278" customFormat="1"/>
    <row r="452" s="278" customFormat="1"/>
    <row r="453" s="278" customFormat="1"/>
    <row r="454" s="278" customFormat="1"/>
    <row r="455" s="278" customFormat="1"/>
    <row r="456" s="278" customFormat="1"/>
    <row r="457" s="278" customFormat="1"/>
    <row r="458" s="278" customFormat="1"/>
    <row r="459" s="278" customFormat="1"/>
    <row r="460" s="278" customFormat="1"/>
    <row r="461" s="278" customFormat="1"/>
    <row r="462" s="278" customFormat="1"/>
    <row r="463" s="278" customFormat="1"/>
    <row r="464" s="278" customFormat="1"/>
    <row r="465" s="278" customFormat="1"/>
    <row r="466" s="278" customFormat="1"/>
    <row r="467" s="278" customFormat="1"/>
    <row r="468" s="278" customFormat="1"/>
    <row r="469" s="278" customFormat="1"/>
    <row r="470" s="278" customFormat="1"/>
    <row r="471" s="278" customFormat="1"/>
    <row r="472" s="278" customFormat="1"/>
    <row r="473" s="278" customFormat="1"/>
    <row r="474" s="278" customFormat="1"/>
    <row r="475" s="278" customFormat="1"/>
    <row r="476" s="278" customFormat="1"/>
    <row r="477" s="278" customFormat="1"/>
    <row r="478" s="278" customFormat="1"/>
    <row r="479" s="278" customFormat="1"/>
    <row r="480" s="278" customFormat="1"/>
    <row r="481" s="278" customFormat="1"/>
    <row r="482" s="278" customFormat="1"/>
    <row r="483" s="278" customFormat="1"/>
    <row r="484" s="278" customFormat="1"/>
    <row r="485" s="278" customFormat="1"/>
    <row r="486" s="278" customFormat="1"/>
    <row r="487" s="278" customFormat="1"/>
    <row r="488" s="278" customFormat="1"/>
    <row r="489" s="278" customFormat="1"/>
    <row r="490" s="278" customFormat="1"/>
    <row r="491" s="278" customFormat="1"/>
    <row r="492" s="278" customFormat="1"/>
    <row r="493" s="278" customFormat="1"/>
    <row r="494" s="278" customFormat="1"/>
    <row r="495" s="278" customFormat="1"/>
    <row r="496" s="278" customFormat="1"/>
    <row r="497" s="278" customFormat="1"/>
    <row r="498" s="278" customFormat="1"/>
    <row r="499" s="278" customFormat="1"/>
    <row r="500" s="278" customFormat="1"/>
    <row r="501" s="278" customFormat="1"/>
    <row r="502" s="278" customFormat="1"/>
    <row r="503" s="278" customFormat="1"/>
    <row r="504" s="278" customFormat="1"/>
    <row r="505" s="278" customFormat="1"/>
    <row r="506" s="278" customFormat="1"/>
    <row r="507" s="278" customFormat="1"/>
    <row r="508" s="278" customFormat="1"/>
    <row r="509" s="278" customFormat="1"/>
    <row r="510" s="278" customFormat="1"/>
    <row r="511" s="278" customFormat="1"/>
    <row r="512" s="278" customFormat="1"/>
    <row r="513" s="278" customFormat="1"/>
    <row r="514" s="278" customFormat="1"/>
    <row r="515" s="278" customFormat="1"/>
    <row r="516" s="278" customFormat="1"/>
    <row r="517" s="278" customFormat="1"/>
    <row r="518" s="278" customFormat="1"/>
    <row r="519" s="278" customFormat="1"/>
    <row r="520" s="278" customFormat="1"/>
    <row r="521" s="278" customFormat="1"/>
    <row r="522" s="278" customFormat="1"/>
    <row r="523" s="278" customFormat="1"/>
    <row r="524" s="278" customFormat="1"/>
    <row r="525" s="278" customFormat="1"/>
    <row r="526" s="278" customFormat="1"/>
    <row r="527" s="278" customFormat="1"/>
    <row r="528" s="278" customFormat="1"/>
    <row r="529" s="278" customFormat="1"/>
    <row r="530" s="278" customFormat="1"/>
    <row r="531" s="278" customFormat="1"/>
    <row r="532" s="278" customFormat="1"/>
    <row r="533" s="278" customFormat="1"/>
    <row r="534" s="278" customFormat="1"/>
    <row r="535" s="278" customFormat="1"/>
    <row r="536" s="278" customFormat="1"/>
    <row r="537" s="278" customFormat="1"/>
    <row r="538" s="278" customFormat="1"/>
    <row r="539" s="278" customFormat="1"/>
    <row r="540" s="278" customFormat="1"/>
    <row r="541" s="278" customFormat="1"/>
    <row r="542" s="278" customFormat="1"/>
    <row r="543" s="278" customFormat="1"/>
    <row r="544" s="278" customFormat="1"/>
    <row r="545" s="278" customFormat="1"/>
    <row r="546" s="278" customFormat="1"/>
    <row r="547" s="278" customFormat="1"/>
    <row r="548" s="278" customFormat="1"/>
    <row r="549" s="278" customFormat="1"/>
    <row r="550" s="278" customFormat="1"/>
    <row r="551" s="278" customFormat="1"/>
    <row r="552" s="278" customFormat="1"/>
    <row r="553" s="278" customFormat="1"/>
    <row r="554" s="278" customFormat="1"/>
    <row r="555" s="278" customFormat="1"/>
    <row r="556" s="278" customFormat="1"/>
    <row r="557" s="278" customFormat="1"/>
    <row r="558" s="278" customFormat="1"/>
    <row r="559" s="278" customFormat="1"/>
    <row r="560" s="278" customFormat="1"/>
    <row r="561" s="278" customFormat="1"/>
    <row r="562" s="278" customFormat="1"/>
    <row r="564" s="278" customFormat="1"/>
    <row r="565" s="278" customFormat="1"/>
    <row r="566" s="278" customFormat="1"/>
    <row r="567" s="278" customFormat="1"/>
    <row r="568" s="278" customFormat="1"/>
    <row r="569" s="278" customFormat="1"/>
    <row r="570" s="278" customFormat="1"/>
    <row r="571" s="278" customFormat="1"/>
    <row r="572" s="278" customFormat="1"/>
    <row r="573" s="278" customFormat="1"/>
    <row r="574" s="278" customFormat="1"/>
    <row r="575" s="278" customFormat="1"/>
    <row r="576" s="278" customFormat="1"/>
    <row r="577" s="278" customFormat="1"/>
    <row r="578" s="278" customFormat="1"/>
    <row r="579" s="278" customFormat="1"/>
    <row r="580" s="278" customFormat="1"/>
    <row r="581" s="278" customFormat="1"/>
    <row r="582" s="278" customFormat="1"/>
    <row r="583" s="278" customFormat="1"/>
    <row r="584" s="278" customFormat="1"/>
    <row r="585" s="278" customFormat="1"/>
    <row r="586" s="278" customFormat="1"/>
    <row r="587" s="278" customFormat="1"/>
    <row r="588" s="278" customFormat="1"/>
    <row r="589" s="278" customFormat="1"/>
    <row r="590" s="278" customFormat="1"/>
    <row r="591" s="278" customFormat="1"/>
    <row r="592" s="278" customFormat="1"/>
    <row r="593" s="278" customFormat="1"/>
    <row r="594" s="278" customFormat="1"/>
    <row r="595" s="278" customFormat="1"/>
    <row r="596" s="278" customFormat="1"/>
    <row r="597" s="278" customFormat="1"/>
    <row r="598" s="278" customFormat="1"/>
    <row r="599" s="278" customFormat="1"/>
    <row r="600" s="278" customFormat="1"/>
    <row r="601" s="278" customFormat="1"/>
    <row r="602" s="278" customFormat="1"/>
    <row r="603" s="278" customFormat="1"/>
    <row r="604" s="278" customFormat="1"/>
    <row r="605" s="278" customFormat="1"/>
    <row r="606" s="278" customFormat="1"/>
    <row r="607" s="278" customFormat="1"/>
    <row r="608" s="278" customFormat="1"/>
    <row r="609" s="278" customFormat="1"/>
    <row r="610" s="278" customFormat="1"/>
    <row r="611" s="278" customFormat="1"/>
    <row r="612" s="278" customFormat="1"/>
    <row r="613" s="278" customFormat="1"/>
    <row r="614" s="278" customFormat="1"/>
    <row r="615" s="278" customFormat="1"/>
    <row r="616" s="278" customFormat="1"/>
    <row r="617" s="278" customFormat="1"/>
    <row r="618" s="278" customFormat="1"/>
    <row r="619" s="278" customFormat="1"/>
    <row r="620" s="278" customFormat="1"/>
    <row r="621" s="278" customFormat="1"/>
    <row r="622" s="278" customFormat="1"/>
    <row r="623" s="278" customFormat="1"/>
    <row r="624" s="278" customFormat="1"/>
    <row r="625" s="278" customFormat="1"/>
    <row r="626" s="278" customFormat="1"/>
    <row r="627" s="278" customFormat="1"/>
    <row r="628" s="278" customFormat="1"/>
    <row r="629" s="278" customFormat="1"/>
    <row r="630" s="278" customFormat="1"/>
    <row r="631" s="278" customFormat="1"/>
    <row r="632" s="278" customFormat="1"/>
    <row r="633" s="278" customFormat="1"/>
    <row r="634" s="278" customFormat="1"/>
    <row r="635" s="278" customFormat="1"/>
    <row r="636" s="278" customFormat="1"/>
    <row r="637" s="278" customFormat="1"/>
    <row r="638" s="278" customFormat="1"/>
    <row r="639" s="278" customFormat="1"/>
    <row r="640" s="278" customFormat="1"/>
    <row r="641" s="278" customFormat="1"/>
    <row r="642" s="278" customFormat="1"/>
    <row r="643" s="278" customFormat="1"/>
    <row r="644" s="278" customFormat="1"/>
    <row r="645" s="278" customFormat="1"/>
    <row r="646" s="278" customFormat="1"/>
    <row r="647" s="278" customFormat="1"/>
    <row r="648" s="278" customFormat="1"/>
    <row r="649" s="278" customFormat="1"/>
    <row r="651" s="279" customFormat="1" spans="1:11">
      <c r="A651" s="1"/>
      <c r="B651" s="1"/>
      <c r="C651" s="1"/>
      <c r="D651" s="1"/>
      <c r="E651" s="1"/>
      <c r="F651" s="1"/>
      <c r="G651" s="1"/>
      <c r="H651" s="1"/>
      <c r="I651" s="1"/>
      <c r="J651" s="1"/>
      <c r="K651" s="1"/>
    </row>
    <row r="652" s="279" customFormat="1" spans="1:11">
      <c r="A652" s="1"/>
      <c r="B652" s="1"/>
      <c r="C652" s="1"/>
      <c r="D652" s="1"/>
      <c r="E652" s="1"/>
      <c r="F652" s="1"/>
      <c r="G652" s="1"/>
      <c r="H652" s="1"/>
      <c r="I652" s="1"/>
      <c r="J652" s="1"/>
      <c r="K652" s="1"/>
    </row>
    <row r="653" s="279" customFormat="1" spans="1:11">
      <c r="A653" s="1"/>
      <c r="B653" s="1"/>
      <c r="C653" s="1"/>
      <c r="D653" s="1"/>
      <c r="E653" s="1"/>
      <c r="F653" s="1"/>
      <c r="G653" s="1"/>
      <c r="H653" s="1"/>
      <c r="I653" s="1"/>
      <c r="J653" s="1"/>
      <c r="K653" s="1"/>
    </row>
    <row r="654" s="279" customFormat="1" spans="1:11">
      <c r="A654" s="1"/>
      <c r="B654" s="1"/>
      <c r="C654" s="1"/>
      <c r="D654" s="1"/>
      <c r="E654" s="1"/>
      <c r="F654" s="1"/>
      <c r="G654" s="1"/>
      <c r="H654" s="1"/>
      <c r="I654" s="1"/>
      <c r="J654" s="1"/>
      <c r="K654" s="1"/>
    </row>
    <row r="655" s="279" customFormat="1" spans="1:11">
      <c r="A655" s="1"/>
      <c r="B655" s="1"/>
      <c r="C655" s="1"/>
      <c r="D655" s="1"/>
      <c r="E655" s="1"/>
      <c r="F655" s="1"/>
      <c r="G655" s="1"/>
      <c r="H655" s="1"/>
      <c r="I655" s="1"/>
      <c r="J655" s="1"/>
      <c r="K655" s="1"/>
    </row>
    <row r="656" s="279" customFormat="1" spans="1:11">
      <c r="A656" s="1"/>
      <c r="B656" s="1"/>
      <c r="C656" s="1"/>
      <c r="D656" s="1"/>
      <c r="E656" s="1"/>
      <c r="F656" s="1"/>
      <c r="G656" s="1"/>
      <c r="H656" s="1"/>
      <c r="I656" s="1"/>
      <c r="J656" s="1"/>
      <c r="K656" s="1"/>
    </row>
    <row r="657" s="279" customFormat="1" spans="1:11">
      <c r="A657" s="1"/>
      <c r="B657" s="1"/>
      <c r="C657" s="1"/>
      <c r="D657" s="1"/>
      <c r="E657" s="1"/>
      <c r="F657" s="1"/>
      <c r="G657" s="1"/>
      <c r="H657" s="1"/>
      <c r="I657" s="1"/>
      <c r="J657" s="1"/>
      <c r="K657" s="1"/>
    </row>
    <row r="658" s="279" customFormat="1" spans="1:11">
      <c r="A658" s="1"/>
      <c r="B658" s="1"/>
      <c r="C658" s="1"/>
      <c r="D658" s="1"/>
      <c r="E658" s="1"/>
      <c r="F658" s="1"/>
      <c r="G658" s="1"/>
      <c r="H658" s="1"/>
      <c r="I658" s="1"/>
      <c r="J658" s="1"/>
      <c r="K658" s="1"/>
    </row>
    <row r="659" s="279" customFormat="1" spans="1:11">
      <c r="A659" s="1"/>
      <c r="B659" s="1"/>
      <c r="C659" s="1"/>
      <c r="D659" s="1"/>
      <c r="E659" s="1"/>
      <c r="F659" s="1"/>
      <c r="G659" s="1"/>
      <c r="H659" s="1"/>
      <c r="I659" s="1"/>
      <c r="J659" s="1"/>
      <c r="K659" s="1"/>
    </row>
    <row r="660" s="279" customFormat="1" spans="1:11">
      <c r="A660" s="1"/>
      <c r="B660" s="1"/>
      <c r="C660" s="1"/>
      <c r="D660" s="1"/>
      <c r="E660" s="1"/>
      <c r="F660" s="1"/>
      <c r="G660" s="1"/>
      <c r="H660" s="1"/>
      <c r="I660" s="1"/>
      <c r="J660" s="1"/>
      <c r="K660" s="1"/>
    </row>
    <row r="661" s="279" customFormat="1" spans="1:11">
      <c r="A661" s="1"/>
      <c r="B661" s="1"/>
      <c r="C661" s="1"/>
      <c r="D661" s="1"/>
      <c r="E661" s="1"/>
      <c r="F661" s="1"/>
      <c r="G661" s="1"/>
      <c r="H661" s="1"/>
      <c r="I661" s="1"/>
      <c r="J661" s="1"/>
      <c r="K661" s="1"/>
    </row>
    <row r="662" s="279" customFormat="1" spans="1:11">
      <c r="A662" s="1"/>
      <c r="B662" s="1"/>
      <c r="C662" s="1"/>
      <c r="D662" s="1"/>
      <c r="E662" s="1"/>
      <c r="F662" s="1"/>
      <c r="G662" s="1"/>
      <c r="H662" s="1"/>
      <c r="I662" s="1"/>
      <c r="J662" s="1"/>
      <c r="K662" s="1"/>
    </row>
    <row r="663" s="279" customFormat="1" spans="1:11">
      <c r="A663" s="1"/>
      <c r="B663" s="1"/>
      <c r="C663" s="1"/>
      <c r="D663" s="1"/>
      <c r="E663" s="1"/>
      <c r="F663" s="1"/>
      <c r="G663" s="1"/>
      <c r="H663" s="1"/>
      <c r="I663" s="1"/>
      <c r="J663" s="1"/>
      <c r="K663" s="1"/>
    </row>
    <row r="664" s="279" customFormat="1" spans="1:11">
      <c r="A664" s="1"/>
      <c r="B664" s="1"/>
      <c r="C664" s="1"/>
      <c r="D664" s="1"/>
      <c r="E664" s="1"/>
      <c r="F664" s="1"/>
      <c r="G664" s="1"/>
      <c r="H664" s="1"/>
      <c r="I664" s="1"/>
      <c r="J664" s="1"/>
      <c r="K664" s="1"/>
    </row>
    <row r="665" s="279" customFormat="1" spans="1:11">
      <c r="A665" s="1"/>
      <c r="B665" s="1"/>
      <c r="C665" s="1"/>
      <c r="D665" s="1"/>
      <c r="E665" s="1"/>
      <c r="F665" s="1"/>
      <c r="G665" s="1"/>
      <c r="H665" s="1"/>
      <c r="I665" s="1"/>
      <c r="J665" s="1"/>
      <c r="K665" s="1"/>
    </row>
    <row r="666" s="279" customFormat="1" spans="1:11">
      <c r="A666" s="1"/>
      <c r="B666" s="1"/>
      <c r="C666" s="1"/>
      <c r="D666" s="1"/>
      <c r="E666" s="1"/>
      <c r="F666" s="1"/>
      <c r="G666" s="1"/>
      <c r="H666" s="1"/>
      <c r="I666" s="1"/>
      <c r="J666" s="1"/>
      <c r="K666" s="1"/>
    </row>
    <row r="667" s="279" customFormat="1" spans="1:11">
      <c r="A667" s="1"/>
      <c r="B667" s="1"/>
      <c r="C667" s="1"/>
      <c r="D667" s="1"/>
      <c r="E667" s="1"/>
      <c r="F667" s="1"/>
      <c r="G667" s="1"/>
      <c r="H667" s="1"/>
      <c r="I667" s="1"/>
      <c r="J667" s="1"/>
      <c r="K667" s="1"/>
    </row>
    <row r="668" s="279" customFormat="1" spans="1:11">
      <c r="A668" s="1"/>
      <c r="B668" s="1"/>
      <c r="C668" s="1"/>
      <c r="D668" s="1"/>
      <c r="E668" s="1"/>
      <c r="F668" s="1"/>
      <c r="G668" s="1"/>
      <c r="H668" s="1"/>
      <c r="I668" s="1"/>
      <c r="J668" s="1"/>
      <c r="K668" s="1"/>
    </row>
    <row r="669" s="279" customFormat="1" spans="1:11">
      <c r="A669" s="1"/>
      <c r="B669" s="1"/>
      <c r="C669" s="1"/>
      <c r="D669" s="1"/>
      <c r="E669" s="1"/>
      <c r="F669" s="1"/>
      <c r="G669" s="1"/>
      <c r="H669" s="1"/>
      <c r="I669" s="1"/>
      <c r="J669" s="1"/>
      <c r="K669" s="1"/>
    </row>
    <row r="670" s="279" customFormat="1" spans="1:11">
      <c r="A670" s="1"/>
      <c r="B670" s="1"/>
      <c r="C670" s="1"/>
      <c r="D670" s="1"/>
      <c r="E670" s="1"/>
      <c r="F670" s="1"/>
      <c r="G670" s="1"/>
      <c r="H670" s="1"/>
      <c r="I670" s="1"/>
      <c r="J670" s="1"/>
      <c r="K670" s="1"/>
    </row>
    <row r="671" s="279" customFormat="1" spans="1:11">
      <c r="A671" s="1"/>
      <c r="B671" s="1"/>
      <c r="C671" s="1"/>
      <c r="D671" s="1"/>
      <c r="E671" s="1"/>
      <c r="F671" s="1"/>
      <c r="G671" s="1"/>
      <c r="H671" s="1"/>
      <c r="I671" s="1"/>
      <c r="J671" s="1"/>
      <c r="K671" s="1"/>
    </row>
    <row r="672" s="279" customFormat="1" spans="1:11">
      <c r="A672" s="1"/>
      <c r="B672" s="1"/>
      <c r="C672" s="1"/>
      <c r="D672" s="1"/>
      <c r="E672" s="1"/>
      <c r="F672" s="1"/>
      <c r="G672" s="1"/>
      <c r="H672" s="1"/>
      <c r="I672" s="1"/>
      <c r="J672" s="1"/>
      <c r="K672" s="1"/>
    </row>
    <row r="673" s="279" customFormat="1" spans="1:11">
      <c r="A673" s="1"/>
      <c r="B673" s="1"/>
      <c r="C673" s="1"/>
      <c r="D673" s="1"/>
      <c r="E673" s="1"/>
      <c r="F673" s="1"/>
      <c r="G673" s="1"/>
      <c r="H673" s="1"/>
      <c r="I673" s="1"/>
      <c r="J673" s="1"/>
      <c r="K673" s="1"/>
    </row>
    <row r="674" s="279" customFormat="1" spans="1:11">
      <c r="A674" s="1"/>
      <c r="B674" s="1"/>
      <c r="C674" s="1"/>
      <c r="D674" s="1"/>
      <c r="E674" s="1"/>
      <c r="F674" s="1"/>
      <c r="G674" s="1"/>
      <c r="H674" s="1"/>
      <c r="I674" s="1"/>
      <c r="J674" s="1"/>
      <c r="K674" s="1"/>
    </row>
    <row r="675" s="279" customFormat="1" spans="1:11">
      <c r="A675" s="1"/>
      <c r="B675" s="1"/>
      <c r="C675" s="1"/>
      <c r="D675" s="1"/>
      <c r="E675" s="1"/>
      <c r="F675" s="1"/>
      <c r="G675" s="1"/>
      <c r="H675" s="1"/>
      <c r="I675" s="1"/>
      <c r="J675" s="1"/>
      <c r="K675" s="1"/>
    </row>
    <row r="676" s="279" customFormat="1" spans="1:11">
      <c r="A676" s="1"/>
      <c r="B676" s="1"/>
      <c r="C676" s="1"/>
      <c r="D676" s="1"/>
      <c r="E676" s="1"/>
      <c r="F676" s="1"/>
      <c r="G676" s="1"/>
      <c r="H676" s="1"/>
      <c r="I676" s="1"/>
      <c r="J676" s="1"/>
      <c r="K676" s="1"/>
    </row>
    <row r="677" s="279" customFormat="1" spans="1:11">
      <c r="A677" s="1"/>
      <c r="B677" s="1"/>
      <c r="C677" s="1"/>
      <c r="D677" s="1"/>
      <c r="E677" s="1"/>
      <c r="F677" s="1"/>
      <c r="G677" s="1"/>
      <c r="H677" s="1"/>
      <c r="I677" s="1"/>
      <c r="J677" s="1"/>
      <c r="K677" s="1"/>
    </row>
    <row r="678" s="279" customFormat="1" spans="1:11">
      <c r="A678" s="1"/>
      <c r="B678" s="1"/>
      <c r="C678" s="1"/>
      <c r="D678" s="1"/>
      <c r="E678" s="1"/>
      <c r="F678" s="1"/>
      <c r="G678" s="1"/>
      <c r="H678" s="1"/>
      <c r="I678" s="1"/>
      <c r="J678" s="1"/>
      <c r="K678" s="1"/>
    </row>
    <row r="679" s="279" customFormat="1" spans="1:11">
      <c r="A679" s="1"/>
      <c r="B679" s="1"/>
      <c r="C679" s="1"/>
      <c r="D679" s="1"/>
      <c r="E679" s="1"/>
      <c r="F679" s="1"/>
      <c r="G679" s="1"/>
      <c r="H679" s="1"/>
      <c r="I679" s="1"/>
      <c r="J679" s="1"/>
      <c r="K679" s="1"/>
    </row>
    <row r="680" s="279" customFormat="1" spans="1:11">
      <c r="A680" s="1"/>
      <c r="B680" s="1"/>
      <c r="C680" s="1"/>
      <c r="D680" s="1"/>
      <c r="E680" s="1"/>
      <c r="F680" s="1"/>
      <c r="G680" s="1"/>
      <c r="H680" s="1"/>
      <c r="I680" s="1"/>
      <c r="J680" s="1"/>
      <c r="K680" s="1"/>
    </row>
    <row r="681" s="279" customFormat="1" spans="1:11">
      <c r="A681" s="1"/>
      <c r="B681" s="1"/>
      <c r="C681" s="1"/>
      <c r="D681" s="1"/>
      <c r="E681" s="1"/>
      <c r="F681" s="1"/>
      <c r="G681" s="1"/>
      <c r="H681" s="1"/>
      <c r="I681" s="1"/>
      <c r="J681" s="1"/>
      <c r="K681" s="1"/>
    </row>
    <row r="682" s="279" customFormat="1" spans="1:11">
      <c r="A682" s="1"/>
      <c r="B682" s="1"/>
      <c r="C682" s="1"/>
      <c r="D682" s="1"/>
      <c r="E682" s="1"/>
      <c r="F682" s="1"/>
      <c r="G682" s="1"/>
      <c r="H682" s="1"/>
      <c r="I682" s="1"/>
      <c r="J682" s="1"/>
      <c r="K682" s="1"/>
    </row>
    <row r="683" s="279" customFormat="1" spans="1:11">
      <c r="A683" s="1"/>
      <c r="B683" s="1"/>
      <c r="C683" s="1"/>
      <c r="D683" s="1"/>
      <c r="E683" s="1"/>
      <c r="F683" s="1"/>
      <c r="G683" s="1"/>
      <c r="H683" s="1"/>
      <c r="I683" s="1"/>
      <c r="J683" s="1"/>
      <c r="K683" s="1"/>
    </row>
    <row r="684" s="279" customFormat="1" spans="1:11">
      <c r="A684" s="1"/>
      <c r="B684" s="1"/>
      <c r="C684" s="1"/>
      <c r="D684" s="1"/>
      <c r="E684" s="1"/>
      <c r="F684" s="1"/>
      <c r="G684" s="1"/>
      <c r="H684" s="1"/>
      <c r="I684" s="1"/>
      <c r="J684" s="1"/>
      <c r="K684" s="1"/>
    </row>
    <row r="685" s="279" customFormat="1" spans="1:11">
      <c r="A685" s="1"/>
      <c r="B685" s="1"/>
      <c r="C685" s="1"/>
      <c r="D685" s="1"/>
      <c r="E685" s="1"/>
      <c r="F685" s="1"/>
      <c r="G685" s="1"/>
      <c r="H685" s="1"/>
      <c r="I685" s="1"/>
      <c r="J685" s="1"/>
      <c r="K685" s="1"/>
    </row>
    <row r="686" s="279" customFormat="1" spans="1:11">
      <c r="A686" s="1"/>
      <c r="B686" s="1"/>
      <c r="C686" s="1"/>
      <c r="D686" s="1"/>
      <c r="E686" s="1"/>
      <c r="F686" s="1"/>
      <c r="G686" s="1"/>
      <c r="H686" s="1"/>
      <c r="I686" s="1"/>
      <c r="J686" s="1"/>
      <c r="K686" s="1"/>
    </row>
    <row r="687" s="279" customFormat="1" spans="1:11">
      <c r="A687" s="1"/>
      <c r="B687" s="1"/>
      <c r="C687" s="1"/>
      <c r="D687" s="1"/>
      <c r="E687" s="1"/>
      <c r="F687" s="1"/>
      <c r="G687" s="1"/>
      <c r="H687" s="1"/>
      <c r="I687" s="1"/>
      <c r="J687" s="1"/>
      <c r="K687" s="1"/>
    </row>
    <row r="688" s="279" customFormat="1" spans="1:11">
      <c r="A688" s="1"/>
      <c r="B688" s="1"/>
      <c r="C688" s="1"/>
      <c r="D688" s="1"/>
      <c r="E688" s="1"/>
      <c r="F688" s="1"/>
      <c r="G688" s="1"/>
      <c r="H688" s="1"/>
      <c r="I688" s="1"/>
      <c r="J688" s="1"/>
      <c r="K688" s="1"/>
    </row>
    <row r="689" s="279" customFormat="1" spans="1:11">
      <c r="A689" s="1"/>
      <c r="B689" s="1"/>
      <c r="C689" s="1"/>
      <c r="D689" s="1"/>
      <c r="E689" s="1"/>
      <c r="F689" s="1"/>
      <c r="G689" s="1"/>
      <c r="H689" s="1"/>
      <c r="I689" s="1"/>
      <c r="J689" s="1"/>
      <c r="K689" s="1"/>
    </row>
    <row r="690" s="279" customFormat="1" spans="1:11">
      <c r="A690" s="1"/>
      <c r="B690" s="1"/>
      <c r="C690" s="1"/>
      <c r="D690" s="1"/>
      <c r="E690" s="1"/>
      <c r="F690" s="1"/>
      <c r="G690" s="1"/>
      <c r="H690" s="1"/>
      <c r="I690" s="1"/>
      <c r="J690" s="1"/>
      <c r="K690" s="1"/>
    </row>
    <row r="691" s="279" customFormat="1" spans="1:11">
      <c r="A691" s="1"/>
      <c r="B691" s="1"/>
      <c r="C691" s="1"/>
      <c r="D691" s="1"/>
      <c r="E691" s="1"/>
      <c r="F691" s="1"/>
      <c r="G691" s="1"/>
      <c r="H691" s="1"/>
      <c r="I691" s="1"/>
      <c r="J691" s="1"/>
      <c r="K691" s="1"/>
    </row>
    <row r="692" s="279" customFormat="1" spans="1:11">
      <c r="A692" s="1"/>
      <c r="B692" s="1"/>
      <c r="C692" s="1"/>
      <c r="D692" s="1"/>
      <c r="E692" s="1"/>
      <c r="F692" s="1"/>
      <c r="G692" s="1"/>
      <c r="H692" s="1"/>
      <c r="I692" s="1"/>
      <c r="J692" s="1"/>
      <c r="K692" s="1"/>
    </row>
    <row r="693" s="279" customFormat="1" spans="1:11">
      <c r="A693" s="1"/>
      <c r="B693" s="1"/>
      <c r="C693" s="1"/>
      <c r="D693" s="1"/>
      <c r="E693" s="1"/>
      <c r="F693" s="1"/>
      <c r="G693" s="1"/>
      <c r="H693" s="1"/>
      <c r="I693" s="1"/>
      <c r="J693" s="1"/>
      <c r="K693" s="1"/>
    </row>
    <row r="694" s="279" customFormat="1" spans="1:11">
      <c r="A694" s="1"/>
      <c r="B694" s="1"/>
      <c r="C694" s="1"/>
      <c r="D694" s="1"/>
      <c r="E694" s="1"/>
      <c r="F694" s="1"/>
      <c r="G694" s="1"/>
      <c r="H694" s="1"/>
      <c r="I694" s="1"/>
      <c r="J694" s="1"/>
      <c r="K694" s="1"/>
    </row>
    <row r="695" s="279" customFormat="1" spans="1:11">
      <c r="A695" s="1"/>
      <c r="B695" s="1"/>
      <c r="C695" s="1"/>
      <c r="D695" s="1"/>
      <c r="E695" s="1"/>
      <c r="F695" s="1"/>
      <c r="G695" s="1"/>
      <c r="H695" s="1"/>
      <c r="I695" s="1"/>
      <c r="J695" s="1"/>
      <c r="K695" s="1"/>
    </row>
    <row r="696" s="279" customFormat="1" spans="1:11">
      <c r="A696" s="1"/>
      <c r="B696" s="1"/>
      <c r="C696" s="1"/>
      <c r="D696" s="1"/>
      <c r="E696" s="1"/>
      <c r="F696" s="1"/>
      <c r="G696" s="1"/>
      <c r="H696" s="1"/>
      <c r="I696" s="1"/>
      <c r="J696" s="1"/>
      <c r="K696" s="1"/>
    </row>
    <row r="697" s="279" customFormat="1" spans="1:11">
      <c r="A697" s="1"/>
      <c r="B697" s="1"/>
      <c r="C697" s="1"/>
      <c r="D697" s="1"/>
      <c r="E697" s="1"/>
      <c r="F697" s="1"/>
      <c r="G697" s="1"/>
      <c r="H697" s="1"/>
      <c r="I697" s="1"/>
      <c r="J697" s="1"/>
      <c r="K697" s="1"/>
    </row>
    <row r="698" s="279" customFormat="1" spans="1:11">
      <c r="A698" s="1"/>
      <c r="B698" s="1"/>
      <c r="C698" s="1"/>
      <c r="D698" s="1"/>
      <c r="E698" s="1"/>
      <c r="F698" s="1"/>
      <c r="G698" s="1"/>
      <c r="H698" s="1"/>
      <c r="I698" s="1"/>
      <c r="J698" s="1"/>
      <c r="K698" s="1"/>
    </row>
    <row r="699" s="279" customFormat="1" spans="1:11">
      <c r="A699" s="1"/>
      <c r="B699" s="1"/>
      <c r="C699" s="1"/>
      <c r="D699" s="1"/>
      <c r="E699" s="1"/>
      <c r="F699" s="1"/>
      <c r="G699" s="1"/>
      <c r="H699" s="1"/>
      <c r="I699" s="1"/>
      <c r="J699" s="1"/>
      <c r="K699" s="1"/>
    </row>
    <row r="700" s="279" customFormat="1" spans="1:11">
      <c r="A700" s="1"/>
      <c r="B700" s="1"/>
      <c r="C700" s="1"/>
      <c r="D700" s="1"/>
      <c r="E700" s="1"/>
      <c r="F700" s="1"/>
      <c r="G700" s="1"/>
      <c r="H700" s="1"/>
      <c r="I700" s="1"/>
      <c r="J700" s="1"/>
      <c r="K700" s="1"/>
    </row>
    <row r="701" s="279" customFormat="1" spans="1:11">
      <c r="A701" s="1"/>
      <c r="B701" s="1"/>
      <c r="C701" s="1"/>
      <c r="D701" s="1"/>
      <c r="E701" s="1"/>
      <c r="F701" s="1"/>
      <c r="G701" s="1"/>
      <c r="H701" s="1"/>
      <c r="I701" s="1"/>
      <c r="J701" s="1"/>
      <c r="K701" s="1"/>
    </row>
    <row r="702" s="279" customFormat="1" spans="1:11">
      <c r="A702" s="1"/>
      <c r="B702" s="1"/>
      <c r="C702" s="1"/>
      <c r="D702" s="1"/>
      <c r="E702" s="1"/>
      <c r="F702" s="1"/>
      <c r="G702" s="1"/>
      <c r="H702" s="1"/>
      <c r="I702" s="1"/>
      <c r="J702" s="1"/>
      <c r="K702" s="1"/>
    </row>
    <row r="703" s="279" customFormat="1" spans="1:11">
      <c r="A703" s="1"/>
      <c r="B703" s="1"/>
      <c r="C703" s="1"/>
      <c r="D703" s="1"/>
      <c r="E703" s="1"/>
      <c r="F703" s="1"/>
      <c r="G703" s="1"/>
      <c r="H703" s="1"/>
      <c r="I703" s="1"/>
      <c r="J703" s="1"/>
      <c r="K703" s="1"/>
    </row>
    <row r="704" s="279" customFormat="1" spans="1:11">
      <c r="A704" s="1"/>
      <c r="B704" s="1"/>
      <c r="C704" s="1"/>
      <c r="D704" s="1"/>
      <c r="E704" s="1"/>
      <c r="F704" s="1"/>
      <c r="G704" s="1"/>
      <c r="H704" s="1"/>
      <c r="I704" s="1"/>
      <c r="J704" s="1"/>
      <c r="K704" s="1"/>
    </row>
    <row r="705" s="279" customFormat="1" spans="1:11">
      <c r="A705" s="1"/>
      <c r="B705" s="1"/>
      <c r="C705" s="1"/>
      <c r="D705" s="1"/>
      <c r="E705" s="1"/>
      <c r="F705" s="1"/>
      <c r="G705" s="1"/>
      <c r="H705" s="1"/>
      <c r="I705" s="1"/>
      <c r="J705" s="1"/>
      <c r="K705" s="1"/>
    </row>
    <row r="706" s="279" customFormat="1" spans="1:11">
      <c r="A706" s="1"/>
      <c r="B706" s="1"/>
      <c r="C706" s="1"/>
      <c r="D706" s="1"/>
      <c r="E706" s="1"/>
      <c r="F706" s="1"/>
      <c r="G706" s="1"/>
      <c r="H706" s="1"/>
      <c r="I706" s="1"/>
      <c r="J706" s="1"/>
      <c r="K706" s="1"/>
    </row>
    <row r="707" s="279" customFormat="1" spans="1:11">
      <c r="A707" s="1"/>
      <c r="B707" s="1"/>
      <c r="C707" s="1"/>
      <c r="D707" s="1"/>
      <c r="E707" s="1"/>
      <c r="F707" s="1"/>
      <c r="G707" s="1"/>
      <c r="H707" s="1"/>
      <c r="I707" s="1"/>
      <c r="J707" s="1"/>
      <c r="K707" s="1"/>
    </row>
    <row r="708" s="279" customFormat="1" spans="1:11">
      <c r="A708" s="1"/>
      <c r="B708" s="1"/>
      <c r="C708" s="1"/>
      <c r="D708" s="1"/>
      <c r="E708" s="1"/>
      <c r="F708" s="1"/>
      <c r="G708" s="1"/>
      <c r="H708" s="1"/>
      <c r="I708" s="1"/>
      <c r="J708" s="1"/>
      <c r="K708" s="1"/>
    </row>
    <row r="709" s="279" customFormat="1" spans="1:11">
      <c r="A709" s="1"/>
      <c r="B709" s="1"/>
      <c r="C709" s="1"/>
      <c r="D709" s="1"/>
      <c r="E709" s="1"/>
      <c r="F709" s="1"/>
      <c r="G709" s="1"/>
      <c r="H709" s="1"/>
      <c r="I709" s="1"/>
      <c r="J709" s="1"/>
      <c r="K709" s="1"/>
    </row>
    <row r="710" s="279" customFormat="1" spans="1:11">
      <c r="A710" s="1"/>
      <c r="B710" s="1"/>
      <c r="C710" s="1"/>
      <c r="D710" s="1"/>
      <c r="E710" s="1"/>
      <c r="F710" s="1"/>
      <c r="G710" s="1"/>
      <c r="H710" s="1"/>
      <c r="I710" s="1"/>
      <c r="J710" s="1"/>
      <c r="K710" s="1"/>
    </row>
    <row r="711" s="279" customFormat="1" spans="1:11">
      <c r="A711" s="1"/>
      <c r="B711" s="1"/>
      <c r="C711" s="1"/>
      <c r="D711" s="1"/>
      <c r="E711" s="1"/>
      <c r="F711" s="1"/>
      <c r="G711" s="1"/>
      <c r="H711" s="1"/>
      <c r="I711" s="1"/>
      <c r="J711" s="1"/>
      <c r="K711" s="1"/>
    </row>
    <row r="712" s="279" customFormat="1" spans="1:11">
      <c r="A712" s="1"/>
      <c r="B712" s="1"/>
      <c r="C712" s="1"/>
      <c r="D712" s="1"/>
      <c r="E712" s="1"/>
      <c r="F712" s="1"/>
      <c r="G712" s="1"/>
      <c r="H712" s="1"/>
      <c r="I712" s="1"/>
      <c r="J712" s="1"/>
      <c r="K712" s="1"/>
    </row>
    <row r="713" s="279" customFormat="1" spans="1:11">
      <c r="A713" s="1"/>
      <c r="B713" s="1"/>
      <c r="C713" s="1"/>
      <c r="D713" s="1"/>
      <c r="E713" s="1"/>
      <c r="F713" s="1"/>
      <c r="G713" s="1"/>
      <c r="H713" s="1"/>
      <c r="I713" s="1"/>
      <c r="J713" s="1"/>
      <c r="K713" s="1"/>
    </row>
    <row r="714" s="279" customFormat="1" spans="1:11">
      <c r="A714" s="1"/>
      <c r="B714" s="1"/>
      <c r="C714" s="1"/>
      <c r="D714" s="1"/>
      <c r="E714" s="1"/>
      <c r="F714" s="1"/>
      <c r="G714" s="1"/>
      <c r="H714" s="1"/>
      <c r="I714" s="1"/>
      <c r="J714" s="1"/>
      <c r="K714" s="1"/>
    </row>
    <row r="715" s="279" customFormat="1" spans="1:11">
      <c r="A715" s="1"/>
      <c r="B715" s="1"/>
      <c r="C715" s="1"/>
      <c r="D715" s="1"/>
      <c r="E715" s="1"/>
      <c r="F715" s="1"/>
      <c r="G715" s="1"/>
      <c r="H715" s="1"/>
      <c r="I715" s="1"/>
      <c r="J715" s="1"/>
      <c r="K715" s="1"/>
    </row>
    <row r="716" s="279" customFormat="1" spans="1:11">
      <c r="A716" s="1"/>
      <c r="B716" s="1"/>
      <c r="C716" s="1"/>
      <c r="D716" s="1"/>
      <c r="E716" s="1"/>
      <c r="F716" s="1"/>
      <c r="G716" s="1"/>
      <c r="H716" s="1"/>
      <c r="I716" s="1"/>
      <c r="J716" s="1"/>
      <c r="K716" s="1"/>
    </row>
    <row r="717" s="279" customFormat="1" spans="1:11">
      <c r="A717" s="1"/>
      <c r="B717" s="1"/>
      <c r="C717" s="1"/>
      <c r="D717" s="1"/>
      <c r="E717" s="1"/>
      <c r="F717" s="1"/>
      <c r="G717" s="1"/>
      <c r="H717" s="1"/>
      <c r="I717" s="1"/>
      <c r="J717" s="1"/>
      <c r="K717" s="1"/>
    </row>
    <row r="718" s="279" customFormat="1" spans="1:11">
      <c r="A718" s="1"/>
      <c r="B718" s="1"/>
      <c r="C718" s="1"/>
      <c r="D718" s="1"/>
      <c r="E718" s="1"/>
      <c r="F718" s="1"/>
      <c r="G718" s="1"/>
      <c r="H718" s="1"/>
      <c r="I718" s="1"/>
      <c r="J718" s="1"/>
      <c r="K718" s="1"/>
    </row>
    <row r="719" s="279" customFormat="1" spans="1:11">
      <c r="A719" s="1"/>
      <c r="B719" s="1"/>
      <c r="C719" s="1"/>
      <c r="D719" s="1"/>
      <c r="E719" s="1"/>
      <c r="F719" s="1"/>
      <c r="G719" s="1"/>
      <c r="H719" s="1"/>
      <c r="I719" s="1"/>
      <c r="J719" s="1"/>
      <c r="K719" s="1"/>
    </row>
    <row r="720" s="279" customFormat="1" spans="1:11">
      <c r="A720" s="1"/>
      <c r="B720" s="1"/>
      <c r="C720" s="1"/>
      <c r="D720" s="1"/>
      <c r="E720" s="1"/>
      <c r="F720" s="1"/>
      <c r="G720" s="1"/>
      <c r="H720" s="1"/>
      <c r="I720" s="1"/>
      <c r="J720" s="1"/>
      <c r="K720" s="1"/>
    </row>
    <row r="721" s="279" customFormat="1" spans="1:11">
      <c r="A721" s="1"/>
      <c r="B721" s="1"/>
      <c r="C721" s="1"/>
      <c r="D721" s="1"/>
      <c r="E721" s="1"/>
      <c r="F721" s="1"/>
      <c r="G721" s="1"/>
      <c r="H721" s="1"/>
      <c r="I721" s="1"/>
      <c r="J721" s="1"/>
      <c r="K721" s="1"/>
    </row>
    <row r="722" s="279" customFormat="1" spans="1:11">
      <c r="A722" s="1"/>
      <c r="B722" s="1"/>
      <c r="C722" s="1"/>
      <c r="D722" s="1"/>
      <c r="E722" s="1"/>
      <c r="F722" s="1"/>
      <c r="G722" s="1"/>
      <c r="H722" s="1"/>
      <c r="I722" s="1"/>
      <c r="J722" s="1"/>
      <c r="K722" s="1"/>
    </row>
    <row r="723" s="279" customFormat="1" spans="1:11">
      <c r="A723" s="1"/>
      <c r="B723" s="1"/>
      <c r="C723" s="1"/>
      <c r="D723" s="1"/>
      <c r="E723" s="1"/>
      <c r="F723" s="1"/>
      <c r="G723" s="1"/>
      <c r="H723" s="1"/>
      <c r="I723" s="1"/>
      <c r="J723" s="1"/>
      <c r="K723" s="1"/>
    </row>
    <row r="724" s="279" customFormat="1" spans="1:11">
      <c r="A724" s="1"/>
      <c r="B724" s="1"/>
      <c r="C724" s="1"/>
      <c r="D724" s="1"/>
      <c r="E724" s="1"/>
      <c r="F724" s="1"/>
      <c r="G724" s="1"/>
      <c r="H724" s="1"/>
      <c r="I724" s="1"/>
      <c r="J724" s="1"/>
      <c r="K724" s="1"/>
    </row>
    <row r="725" s="279" customFormat="1" spans="1:11">
      <c r="A725" s="1"/>
      <c r="B725" s="1"/>
      <c r="C725" s="1"/>
      <c r="D725" s="1"/>
      <c r="E725" s="1"/>
      <c r="F725" s="1"/>
      <c r="G725" s="1"/>
      <c r="H725" s="1"/>
      <c r="I725" s="1"/>
      <c r="J725" s="1"/>
      <c r="K725" s="1"/>
    </row>
    <row r="726" s="279" customFormat="1" spans="1:11">
      <c r="A726" s="1"/>
      <c r="B726" s="1"/>
      <c r="C726" s="1"/>
      <c r="D726" s="1"/>
      <c r="E726" s="1"/>
      <c r="F726" s="1"/>
      <c r="G726" s="1"/>
      <c r="H726" s="1"/>
      <c r="I726" s="1"/>
      <c r="J726" s="1"/>
      <c r="K726" s="1"/>
    </row>
    <row r="727" s="279" customFormat="1" spans="1:11">
      <c r="A727" s="1"/>
      <c r="B727" s="1"/>
      <c r="C727" s="1"/>
      <c r="D727" s="1"/>
      <c r="E727" s="1"/>
      <c r="F727" s="1"/>
      <c r="G727" s="1"/>
      <c r="H727" s="1"/>
      <c r="I727" s="1"/>
      <c r="J727" s="1"/>
      <c r="K727" s="1"/>
    </row>
    <row r="728" s="279" customFormat="1" spans="1:11">
      <c r="A728" s="1"/>
      <c r="B728" s="1"/>
      <c r="C728" s="1"/>
      <c r="D728" s="1"/>
      <c r="E728" s="1"/>
      <c r="F728" s="1"/>
      <c r="G728" s="1"/>
      <c r="H728" s="1"/>
      <c r="I728" s="1"/>
      <c r="J728" s="1"/>
      <c r="K728" s="1"/>
    </row>
    <row r="729" s="279" customFormat="1" spans="1:11">
      <c r="A729" s="1"/>
      <c r="B729" s="1"/>
      <c r="C729" s="1"/>
      <c r="D729" s="1"/>
      <c r="E729" s="1"/>
      <c r="F729" s="1"/>
      <c r="G729" s="1"/>
      <c r="H729" s="1"/>
      <c r="I729" s="1"/>
      <c r="J729" s="1"/>
      <c r="K729" s="1"/>
    </row>
    <row r="730" s="279" customFormat="1" spans="1:11">
      <c r="A730" s="1"/>
      <c r="B730" s="1"/>
      <c r="C730" s="1"/>
      <c r="D730" s="1"/>
      <c r="E730" s="1"/>
      <c r="F730" s="1"/>
      <c r="G730" s="1"/>
      <c r="H730" s="1"/>
      <c r="I730" s="1"/>
      <c r="J730" s="1"/>
      <c r="K730" s="1"/>
    </row>
    <row r="731" s="279" customFormat="1" spans="1:11">
      <c r="A731" s="1"/>
      <c r="B731" s="1"/>
      <c r="C731" s="1"/>
      <c r="D731" s="1"/>
      <c r="E731" s="1"/>
      <c r="F731" s="1"/>
      <c r="G731" s="1"/>
      <c r="H731" s="1"/>
      <c r="I731" s="1"/>
      <c r="J731" s="1"/>
      <c r="K731" s="1"/>
    </row>
    <row r="732" s="279" customFormat="1" spans="1:11">
      <c r="A732" s="1"/>
      <c r="B732" s="1"/>
      <c r="C732" s="1"/>
      <c r="D732" s="1"/>
      <c r="E732" s="1"/>
      <c r="F732" s="1"/>
      <c r="G732" s="1"/>
      <c r="H732" s="1"/>
      <c r="I732" s="1"/>
      <c r="J732" s="1"/>
      <c r="K732" s="1"/>
    </row>
    <row r="733" s="279" customFormat="1" spans="1:11">
      <c r="A733" s="1"/>
      <c r="B733" s="1"/>
      <c r="C733" s="1"/>
      <c r="D733" s="1"/>
      <c r="E733" s="1"/>
      <c r="F733" s="1"/>
      <c r="G733" s="1"/>
      <c r="H733" s="1"/>
      <c r="I733" s="1"/>
      <c r="J733" s="1"/>
      <c r="K733" s="1"/>
    </row>
    <row r="734" s="279" customFormat="1" spans="1:11">
      <c r="A734" s="1"/>
      <c r="B734" s="1"/>
      <c r="C734" s="1"/>
      <c r="D734" s="1"/>
      <c r="E734" s="1"/>
      <c r="F734" s="1"/>
      <c r="G734" s="1"/>
      <c r="H734" s="1"/>
      <c r="I734" s="1"/>
      <c r="J734" s="1"/>
      <c r="K734" s="1"/>
    </row>
    <row r="735" s="279" customFormat="1" spans="1:11">
      <c r="A735" s="1"/>
      <c r="B735" s="1"/>
      <c r="C735" s="1"/>
      <c r="D735" s="1"/>
      <c r="E735" s="1"/>
      <c r="F735" s="1"/>
      <c r="G735" s="1"/>
      <c r="H735" s="1"/>
      <c r="I735" s="1"/>
      <c r="J735" s="1"/>
      <c r="K735" s="1"/>
    </row>
    <row r="736" s="279" customFormat="1" spans="1:11">
      <c r="A736" s="1"/>
      <c r="B736" s="1"/>
      <c r="C736" s="1"/>
      <c r="D736" s="1"/>
      <c r="E736" s="1"/>
      <c r="F736" s="1"/>
      <c r="G736" s="1"/>
      <c r="H736" s="1"/>
      <c r="I736" s="1"/>
      <c r="J736" s="1"/>
      <c r="K736" s="1"/>
    </row>
    <row r="737" s="279" customFormat="1" spans="1:11">
      <c r="A737" s="1"/>
      <c r="B737" s="1"/>
      <c r="C737" s="1"/>
      <c r="D737" s="1"/>
      <c r="E737" s="1"/>
      <c r="F737" s="1"/>
      <c r="G737" s="1"/>
      <c r="H737" s="1"/>
      <c r="I737" s="1"/>
      <c r="J737" s="1"/>
      <c r="K737" s="1"/>
    </row>
    <row r="738" s="279" customFormat="1" spans="1:11">
      <c r="A738" s="1"/>
      <c r="B738" s="1"/>
      <c r="C738" s="1"/>
      <c r="D738" s="1"/>
      <c r="E738" s="1"/>
      <c r="F738" s="1"/>
      <c r="G738" s="1"/>
      <c r="H738" s="1"/>
      <c r="I738" s="1"/>
      <c r="J738" s="1"/>
      <c r="K738" s="1"/>
    </row>
    <row r="739" s="279" customFormat="1" spans="1:11">
      <c r="A739" s="1"/>
      <c r="B739" s="1"/>
      <c r="C739" s="1"/>
      <c r="D739" s="1"/>
      <c r="E739" s="1"/>
      <c r="F739" s="1"/>
      <c r="G739" s="1"/>
      <c r="H739" s="1"/>
      <c r="I739" s="1"/>
      <c r="J739" s="1"/>
      <c r="K739" s="1"/>
    </row>
    <row r="740" s="279" customFormat="1" spans="1:11">
      <c r="A740" s="1"/>
      <c r="B740" s="1"/>
      <c r="C740" s="1"/>
      <c r="D740" s="1"/>
      <c r="E740" s="1"/>
      <c r="F740" s="1"/>
      <c r="G740" s="1"/>
      <c r="H740" s="1"/>
      <c r="I740" s="1"/>
      <c r="J740" s="1"/>
      <c r="K740" s="1"/>
    </row>
    <row r="741" s="279" customFormat="1" spans="1:11">
      <c r="A741" s="1"/>
      <c r="B741" s="1"/>
      <c r="C741" s="1"/>
      <c r="D741" s="1"/>
      <c r="E741" s="1"/>
      <c r="F741" s="1"/>
      <c r="G741" s="1"/>
      <c r="H741" s="1"/>
      <c r="I741" s="1"/>
      <c r="J741" s="1"/>
      <c r="K741" s="1"/>
    </row>
    <row r="742" s="279" customFormat="1" spans="1:11">
      <c r="A742" s="1"/>
      <c r="B742" s="1"/>
      <c r="C742" s="1"/>
      <c r="D742" s="1"/>
      <c r="E742" s="1"/>
      <c r="F742" s="1"/>
      <c r="G742" s="1"/>
      <c r="H742" s="1"/>
      <c r="I742" s="1"/>
      <c r="J742" s="1"/>
      <c r="K742" s="1"/>
    </row>
    <row r="743" s="279" customFormat="1" spans="1:11">
      <c r="A743" s="1"/>
      <c r="B743" s="1"/>
      <c r="C743" s="1"/>
      <c r="D743" s="1"/>
      <c r="E743" s="1"/>
      <c r="F743" s="1"/>
      <c r="G743" s="1"/>
      <c r="H743" s="1"/>
      <c r="I743" s="1"/>
      <c r="J743" s="1"/>
      <c r="K743" s="1"/>
    </row>
    <row r="744" s="279" customFormat="1" spans="1:11">
      <c r="A744" s="1"/>
      <c r="B744" s="1"/>
      <c r="C744" s="1"/>
      <c r="D744" s="1"/>
      <c r="E744" s="1"/>
      <c r="F744" s="1"/>
      <c r="G744" s="1"/>
      <c r="H744" s="1"/>
      <c r="I744" s="1"/>
      <c r="J744" s="1"/>
      <c r="K744" s="1"/>
    </row>
    <row r="745" s="279" customFormat="1" spans="1:11">
      <c r="A745" s="1"/>
      <c r="B745" s="1"/>
      <c r="C745" s="1"/>
      <c r="D745" s="1"/>
      <c r="E745" s="1"/>
      <c r="F745" s="1"/>
      <c r="G745" s="1"/>
      <c r="H745" s="1"/>
      <c r="I745" s="1"/>
      <c r="J745" s="1"/>
      <c r="K745" s="1"/>
    </row>
    <row r="746" s="279" customFormat="1" spans="1:11">
      <c r="A746" s="1"/>
      <c r="B746" s="1"/>
      <c r="C746" s="1"/>
      <c r="D746" s="1"/>
      <c r="E746" s="1"/>
      <c r="F746" s="1"/>
      <c r="G746" s="1"/>
      <c r="H746" s="1"/>
      <c r="I746" s="1"/>
      <c r="J746" s="1"/>
      <c r="K746" s="1"/>
    </row>
    <row r="747" s="279" customFormat="1" spans="1:11">
      <c r="A747" s="1"/>
      <c r="B747" s="1"/>
      <c r="C747" s="1"/>
      <c r="D747" s="1"/>
      <c r="E747" s="1"/>
      <c r="F747" s="1"/>
      <c r="G747" s="1"/>
      <c r="H747" s="1"/>
      <c r="I747" s="1"/>
      <c r="J747" s="1"/>
      <c r="K747" s="1"/>
    </row>
    <row r="748" s="279" customFormat="1" spans="1:11">
      <c r="A748" s="1"/>
      <c r="B748" s="1"/>
      <c r="C748" s="1"/>
      <c r="D748" s="1"/>
      <c r="E748" s="1"/>
      <c r="F748" s="1"/>
      <c r="G748" s="1"/>
      <c r="H748" s="1"/>
      <c r="I748" s="1"/>
      <c r="J748" s="1"/>
      <c r="K748" s="1"/>
    </row>
    <row r="749" s="279" customFormat="1" spans="1:11">
      <c r="A749" s="1"/>
      <c r="B749" s="1"/>
      <c r="C749" s="1"/>
      <c r="D749" s="1"/>
      <c r="E749" s="1"/>
      <c r="F749" s="1"/>
      <c r="G749" s="1"/>
      <c r="H749" s="1"/>
      <c r="I749" s="1"/>
      <c r="J749" s="1"/>
      <c r="K749" s="1"/>
    </row>
    <row r="750" s="279" customFormat="1" spans="1:11">
      <c r="A750" s="1"/>
      <c r="B750" s="1"/>
      <c r="C750" s="1"/>
      <c r="D750" s="1"/>
      <c r="E750" s="1"/>
      <c r="F750" s="1"/>
      <c r="G750" s="1"/>
      <c r="H750" s="1"/>
      <c r="I750" s="1"/>
      <c r="J750" s="1"/>
      <c r="K750" s="1"/>
    </row>
    <row r="751" s="279" customFormat="1" spans="1:11">
      <c r="A751" s="1"/>
      <c r="B751" s="1"/>
      <c r="C751" s="1"/>
      <c r="D751" s="1"/>
      <c r="E751" s="1"/>
      <c r="F751" s="1"/>
      <c r="G751" s="1"/>
      <c r="H751" s="1"/>
      <c r="I751" s="1"/>
      <c r="J751" s="1"/>
      <c r="K751" s="1"/>
    </row>
    <row r="752" s="279" customFormat="1" spans="1:11">
      <c r="A752" s="1"/>
      <c r="B752" s="1"/>
      <c r="C752" s="1"/>
      <c r="D752" s="1"/>
      <c r="E752" s="1"/>
      <c r="F752" s="1"/>
      <c r="G752" s="1"/>
      <c r="H752" s="1"/>
      <c r="I752" s="1"/>
      <c r="J752" s="1"/>
      <c r="K752" s="1"/>
    </row>
    <row r="753" s="279" customFormat="1" spans="1:11">
      <c r="A753" s="1"/>
      <c r="B753" s="1"/>
      <c r="C753" s="1"/>
      <c r="D753" s="1"/>
      <c r="E753" s="1"/>
      <c r="F753" s="1"/>
      <c r="G753" s="1"/>
      <c r="H753" s="1"/>
      <c r="I753" s="1"/>
      <c r="J753" s="1"/>
      <c r="K753" s="1"/>
    </row>
    <row r="754" s="279" customFormat="1" spans="1:11">
      <c r="A754" s="1"/>
      <c r="B754" s="1"/>
      <c r="C754" s="1"/>
      <c r="D754" s="1"/>
      <c r="E754" s="1"/>
      <c r="F754" s="1"/>
      <c r="G754" s="1"/>
      <c r="H754" s="1"/>
      <c r="I754" s="1"/>
      <c r="J754" s="1"/>
      <c r="K754" s="1"/>
    </row>
    <row r="755" s="279" customFormat="1" spans="1:11">
      <c r="A755" s="1"/>
      <c r="B755" s="1"/>
      <c r="C755" s="1"/>
      <c r="D755" s="1"/>
      <c r="E755" s="1"/>
      <c r="F755" s="1"/>
      <c r="G755" s="1"/>
      <c r="H755" s="1"/>
      <c r="I755" s="1"/>
      <c r="J755" s="1"/>
      <c r="K755" s="1"/>
    </row>
    <row r="756" s="279" customFormat="1" spans="1:11">
      <c r="A756" s="1"/>
      <c r="B756" s="1"/>
      <c r="C756" s="1"/>
      <c r="D756" s="1"/>
      <c r="E756" s="1"/>
      <c r="F756" s="1"/>
      <c r="G756" s="1"/>
      <c r="H756" s="1"/>
      <c r="I756" s="1"/>
      <c r="J756" s="1"/>
      <c r="K756" s="1"/>
    </row>
    <row r="757" s="279" customFormat="1" spans="1:11">
      <c r="A757" s="1"/>
      <c r="B757" s="1"/>
      <c r="C757" s="1"/>
      <c r="D757" s="1"/>
      <c r="E757" s="1"/>
      <c r="F757" s="1"/>
      <c r="G757" s="1"/>
      <c r="H757" s="1"/>
      <c r="I757" s="1"/>
      <c r="J757" s="1"/>
      <c r="K757" s="1"/>
    </row>
    <row r="758" s="279" customFormat="1" spans="1:11">
      <c r="A758" s="1"/>
      <c r="B758" s="1"/>
      <c r="C758" s="1"/>
      <c r="D758" s="1"/>
      <c r="E758" s="1"/>
      <c r="F758" s="1"/>
      <c r="G758" s="1"/>
      <c r="H758" s="1"/>
      <c r="I758" s="1"/>
      <c r="J758" s="1"/>
      <c r="K758" s="1"/>
    </row>
    <row r="759" s="279" customFormat="1" spans="1:11">
      <c r="A759" s="1"/>
      <c r="B759" s="1"/>
      <c r="C759" s="1"/>
      <c r="D759" s="1"/>
      <c r="E759" s="1"/>
      <c r="F759" s="1"/>
      <c r="G759" s="1"/>
      <c r="H759" s="1"/>
      <c r="I759" s="1"/>
      <c r="J759" s="1"/>
      <c r="K759" s="1"/>
    </row>
    <row r="760" s="279" customFormat="1" spans="1:11">
      <c r="A760" s="1"/>
      <c r="B760" s="1"/>
      <c r="C760" s="1"/>
      <c r="D760" s="1"/>
      <c r="E760" s="1"/>
      <c r="F760" s="1"/>
      <c r="G760" s="1"/>
      <c r="H760" s="1"/>
      <c r="I760" s="1"/>
      <c r="J760" s="1"/>
      <c r="K760" s="1"/>
    </row>
    <row r="761" s="279" customFormat="1" spans="1:11">
      <c r="A761" s="1"/>
      <c r="B761" s="1"/>
      <c r="C761" s="1"/>
      <c r="D761" s="1"/>
      <c r="E761" s="1"/>
      <c r="F761" s="1"/>
      <c r="G761" s="1"/>
      <c r="H761" s="1"/>
      <c r="I761" s="1"/>
      <c r="J761" s="1"/>
      <c r="K761" s="1"/>
    </row>
    <row r="762" s="279" customFormat="1" spans="1:11">
      <c r="A762" s="1"/>
      <c r="B762" s="1"/>
      <c r="C762" s="1"/>
      <c r="D762" s="1"/>
      <c r="E762" s="1"/>
      <c r="F762" s="1"/>
      <c r="G762" s="1"/>
      <c r="H762" s="1"/>
      <c r="I762" s="1"/>
      <c r="J762" s="1"/>
      <c r="K762" s="1"/>
    </row>
    <row r="763" s="279" customFormat="1" spans="1:11">
      <c r="A763" s="1"/>
      <c r="B763" s="1"/>
      <c r="C763" s="1"/>
      <c r="D763" s="1"/>
      <c r="E763" s="1"/>
      <c r="F763" s="1"/>
      <c r="G763" s="1"/>
      <c r="H763" s="1"/>
      <c r="I763" s="1"/>
      <c r="J763" s="1"/>
      <c r="K763" s="1"/>
    </row>
    <row r="764" s="279" customFormat="1" spans="1:11">
      <c r="A764" s="1"/>
      <c r="B764" s="1"/>
      <c r="C764" s="1"/>
      <c r="D764" s="1"/>
      <c r="E764" s="1"/>
      <c r="F764" s="1"/>
      <c r="G764" s="1"/>
      <c r="H764" s="1"/>
      <c r="I764" s="1"/>
      <c r="J764" s="1"/>
      <c r="K764" s="1"/>
    </row>
    <row r="765" s="279" customFormat="1" spans="1:11">
      <c r="A765" s="1"/>
      <c r="B765" s="1"/>
      <c r="C765" s="1"/>
      <c r="D765" s="1"/>
      <c r="E765" s="1"/>
      <c r="F765" s="1"/>
      <c r="G765" s="1"/>
      <c r="H765" s="1"/>
      <c r="I765" s="1"/>
      <c r="J765" s="1"/>
      <c r="K765" s="1"/>
    </row>
    <row r="766" s="279" customFormat="1" spans="1:11">
      <c r="A766" s="1"/>
      <c r="B766" s="1"/>
      <c r="C766" s="1"/>
      <c r="D766" s="1"/>
      <c r="E766" s="1"/>
      <c r="F766" s="1"/>
      <c r="G766" s="1"/>
      <c r="H766" s="1"/>
      <c r="I766" s="1"/>
      <c r="J766" s="1"/>
      <c r="K766" s="1"/>
    </row>
    <row r="767" s="279" customFormat="1" spans="1:11">
      <c r="A767" s="1"/>
      <c r="B767" s="1"/>
      <c r="C767" s="1"/>
      <c r="D767" s="1"/>
      <c r="E767" s="1"/>
      <c r="F767" s="1"/>
      <c r="G767" s="1"/>
      <c r="H767" s="1"/>
      <c r="I767" s="1"/>
      <c r="J767" s="1"/>
      <c r="K767" s="1"/>
    </row>
    <row r="768" s="279" customFormat="1" spans="1:11">
      <c r="A768" s="1"/>
      <c r="B768" s="1"/>
      <c r="C768" s="1"/>
      <c r="D768" s="1"/>
      <c r="E768" s="1"/>
      <c r="F768" s="1"/>
      <c r="G768" s="1"/>
      <c r="H768" s="1"/>
      <c r="I768" s="1"/>
      <c r="J768" s="1"/>
      <c r="K768" s="1"/>
    </row>
    <row r="769" s="279" customFormat="1" spans="1:11">
      <c r="A769" s="1"/>
      <c r="B769" s="1"/>
      <c r="C769" s="1"/>
      <c r="D769" s="1"/>
      <c r="E769" s="1"/>
      <c r="F769" s="1"/>
      <c r="G769" s="1"/>
      <c r="H769" s="1"/>
      <c r="I769" s="1"/>
      <c r="J769" s="1"/>
      <c r="K769" s="1"/>
    </row>
    <row r="770" s="279" customFormat="1" spans="1:11">
      <c r="A770" s="1"/>
      <c r="B770" s="1"/>
      <c r="C770" s="1"/>
      <c r="D770" s="1"/>
      <c r="E770" s="1"/>
      <c r="F770" s="1"/>
      <c r="G770" s="1"/>
      <c r="H770" s="1"/>
      <c r="I770" s="1"/>
      <c r="J770" s="1"/>
      <c r="K770" s="1"/>
    </row>
    <row r="771" s="279" customFormat="1" spans="1:11">
      <c r="A771" s="1"/>
      <c r="B771" s="1"/>
      <c r="C771" s="1"/>
      <c r="D771" s="1"/>
      <c r="E771" s="1"/>
      <c r="F771" s="1"/>
      <c r="G771" s="1"/>
      <c r="H771" s="1"/>
      <c r="I771" s="1"/>
      <c r="J771" s="1"/>
      <c r="K771" s="1"/>
    </row>
    <row r="772" s="279" customFormat="1" spans="1:11">
      <c r="A772" s="1"/>
      <c r="B772" s="1"/>
      <c r="C772" s="1"/>
      <c r="D772" s="1"/>
      <c r="E772" s="1"/>
      <c r="F772" s="1"/>
      <c r="G772" s="1"/>
      <c r="H772" s="1"/>
      <c r="I772" s="1"/>
      <c r="J772" s="1"/>
      <c r="K772" s="1"/>
    </row>
    <row r="773" s="279" customFormat="1" spans="1:11">
      <c r="A773" s="1"/>
      <c r="B773" s="1"/>
      <c r="C773" s="1"/>
      <c r="D773" s="1"/>
      <c r="E773" s="1"/>
      <c r="F773" s="1"/>
      <c r="G773" s="1"/>
      <c r="H773" s="1"/>
      <c r="I773" s="1"/>
      <c r="J773" s="1"/>
      <c r="K773" s="1"/>
    </row>
    <row r="774" s="279" customFormat="1" spans="1:11">
      <c r="A774" s="1"/>
      <c r="B774" s="1"/>
      <c r="C774" s="1"/>
      <c r="D774" s="1"/>
      <c r="E774" s="1"/>
      <c r="F774" s="1"/>
      <c r="G774" s="1"/>
      <c r="H774" s="1"/>
      <c r="I774" s="1"/>
      <c r="J774" s="1"/>
      <c r="K774" s="1"/>
    </row>
    <row r="775" s="279" customFormat="1" spans="1:11">
      <c r="A775" s="1"/>
      <c r="B775" s="1"/>
      <c r="C775" s="1"/>
      <c r="D775" s="1"/>
      <c r="E775" s="1"/>
      <c r="F775" s="1"/>
      <c r="G775" s="1"/>
      <c r="H775" s="1"/>
      <c r="I775" s="1"/>
      <c r="J775" s="1"/>
      <c r="K775" s="1"/>
    </row>
    <row r="776" s="279" customFormat="1" spans="1:11">
      <c r="A776" s="1"/>
      <c r="B776" s="1"/>
      <c r="C776" s="1"/>
      <c r="D776" s="1"/>
      <c r="E776" s="1"/>
      <c r="F776" s="1"/>
      <c r="G776" s="1"/>
      <c r="H776" s="1"/>
      <c r="I776" s="1"/>
      <c r="J776" s="1"/>
      <c r="K776" s="1"/>
    </row>
    <row r="777" s="279" customFormat="1" spans="1:11">
      <c r="A777" s="1"/>
      <c r="B777" s="1"/>
      <c r="C777" s="1"/>
      <c r="D777" s="1"/>
      <c r="E777" s="1"/>
      <c r="F777" s="1"/>
      <c r="G777" s="1"/>
      <c r="H777" s="1"/>
      <c r="I777" s="1"/>
      <c r="J777" s="1"/>
      <c r="K777" s="1"/>
    </row>
    <row r="778" s="279" customFormat="1" spans="1:11">
      <c r="A778" s="1"/>
      <c r="B778" s="1"/>
      <c r="C778" s="1"/>
      <c r="D778" s="1"/>
      <c r="E778" s="1"/>
      <c r="F778" s="1"/>
      <c r="G778" s="1"/>
      <c r="H778" s="1"/>
      <c r="I778" s="1"/>
      <c r="J778" s="1"/>
      <c r="K778" s="1"/>
    </row>
    <row r="779" s="279" customFormat="1" spans="1:11">
      <c r="A779" s="1"/>
      <c r="B779" s="1"/>
      <c r="C779" s="1"/>
      <c r="D779" s="1"/>
      <c r="E779" s="1"/>
      <c r="F779" s="1"/>
      <c r="G779" s="1"/>
      <c r="H779" s="1"/>
      <c r="I779" s="1"/>
      <c r="J779" s="1"/>
      <c r="K779" s="1"/>
    </row>
    <row r="780" s="279" customFormat="1" spans="1:11">
      <c r="A780" s="1"/>
      <c r="B780" s="1"/>
      <c r="C780" s="1"/>
      <c r="D780" s="1"/>
      <c r="E780" s="1"/>
      <c r="F780" s="1"/>
      <c r="G780" s="1"/>
      <c r="H780" s="1"/>
      <c r="I780" s="1"/>
      <c r="J780" s="1"/>
      <c r="K780" s="1"/>
    </row>
    <row r="781" s="279" customFormat="1" spans="1:11">
      <c r="A781" s="1"/>
      <c r="B781" s="1"/>
      <c r="C781" s="1"/>
      <c r="D781" s="1"/>
      <c r="E781" s="1"/>
      <c r="F781" s="1"/>
      <c r="G781" s="1"/>
      <c r="H781" s="1"/>
      <c r="I781" s="1"/>
      <c r="J781" s="1"/>
      <c r="K781" s="1"/>
    </row>
    <row r="782" s="279" customFormat="1" spans="1:11">
      <c r="A782" s="1"/>
      <c r="B782" s="1"/>
      <c r="C782" s="1"/>
      <c r="D782" s="1"/>
      <c r="E782" s="1"/>
      <c r="F782" s="1"/>
      <c r="G782" s="1"/>
      <c r="H782" s="1"/>
      <c r="I782" s="1"/>
      <c r="J782" s="1"/>
      <c r="K782" s="1"/>
    </row>
    <row r="783" s="279" customFormat="1" spans="1:11">
      <c r="A783" s="1"/>
      <c r="B783" s="1"/>
      <c r="C783" s="1"/>
      <c r="D783" s="1"/>
      <c r="E783" s="1"/>
      <c r="F783" s="1"/>
      <c r="G783" s="1"/>
      <c r="H783" s="1"/>
      <c r="I783" s="1"/>
      <c r="J783" s="1"/>
      <c r="K783" s="1"/>
    </row>
    <row r="784" s="279" customFormat="1" spans="1:11">
      <c r="A784" s="1"/>
      <c r="B784" s="1"/>
      <c r="C784" s="1"/>
      <c r="D784" s="1"/>
      <c r="E784" s="1"/>
      <c r="F784" s="1"/>
      <c r="G784" s="1"/>
      <c r="H784" s="1"/>
      <c r="I784" s="1"/>
      <c r="J784" s="1"/>
      <c r="K784" s="1"/>
    </row>
    <row r="785" s="279" customFormat="1" spans="1:11">
      <c r="A785" s="1"/>
      <c r="B785" s="1"/>
      <c r="C785" s="1"/>
      <c r="D785" s="1"/>
      <c r="E785" s="1"/>
      <c r="F785" s="1"/>
      <c r="G785" s="1"/>
      <c r="H785" s="1"/>
      <c r="I785" s="1"/>
      <c r="J785" s="1"/>
      <c r="K785" s="1"/>
    </row>
    <row r="786" s="279" customFormat="1" spans="1:11">
      <c r="A786" s="1"/>
      <c r="B786" s="1"/>
      <c r="C786" s="1"/>
      <c r="D786" s="1"/>
      <c r="E786" s="1"/>
      <c r="F786" s="1"/>
      <c r="G786" s="1"/>
      <c r="H786" s="1"/>
      <c r="I786" s="1"/>
      <c r="J786" s="1"/>
      <c r="K786" s="1"/>
    </row>
    <row r="787" s="279" customFormat="1" spans="1:11">
      <c r="A787" s="1"/>
      <c r="B787" s="1"/>
      <c r="C787" s="1"/>
      <c r="D787" s="1"/>
      <c r="E787" s="1"/>
      <c r="F787" s="1"/>
      <c r="G787" s="1"/>
      <c r="H787" s="1"/>
      <c r="I787" s="1"/>
      <c r="J787" s="1"/>
      <c r="K787" s="1"/>
    </row>
    <row r="788" s="279" customFormat="1" spans="1:11">
      <c r="A788" s="1"/>
      <c r="B788" s="1"/>
      <c r="C788" s="1"/>
      <c r="D788" s="1"/>
      <c r="E788" s="1"/>
      <c r="F788" s="1"/>
      <c r="G788" s="1"/>
      <c r="H788" s="1"/>
      <c r="I788" s="1"/>
      <c r="J788" s="1"/>
      <c r="K788" s="1"/>
    </row>
    <row r="789" s="279" customFormat="1" spans="1:11">
      <c r="A789" s="1"/>
      <c r="B789" s="1"/>
      <c r="C789" s="1"/>
      <c r="D789" s="1"/>
      <c r="E789" s="1"/>
      <c r="F789" s="1"/>
      <c r="G789" s="1"/>
      <c r="H789" s="1"/>
      <c r="I789" s="1"/>
      <c r="J789" s="1"/>
      <c r="K789" s="1"/>
    </row>
    <row r="790" s="279" customFormat="1" spans="1:11">
      <c r="A790" s="1"/>
      <c r="B790" s="1"/>
      <c r="C790" s="1"/>
      <c r="D790" s="1"/>
      <c r="E790" s="1"/>
      <c r="F790" s="1"/>
      <c r="G790" s="1"/>
      <c r="H790" s="1"/>
      <c r="I790" s="1"/>
      <c r="J790" s="1"/>
      <c r="K790" s="1"/>
    </row>
    <row r="791" s="279" customFormat="1" spans="1:11">
      <c r="A791" s="1"/>
      <c r="B791" s="1"/>
      <c r="C791" s="1"/>
      <c r="D791" s="1"/>
      <c r="E791" s="1"/>
      <c r="F791" s="1"/>
      <c r="G791" s="1"/>
      <c r="H791" s="1"/>
      <c r="I791" s="1"/>
      <c r="J791" s="1"/>
      <c r="K791" s="1"/>
    </row>
    <row r="792" s="279" customFormat="1" spans="1:11">
      <c r="A792" s="1"/>
      <c r="B792" s="1"/>
      <c r="C792" s="1"/>
      <c r="D792" s="1"/>
      <c r="E792" s="1"/>
      <c r="F792" s="1"/>
      <c r="G792" s="1"/>
      <c r="H792" s="1"/>
      <c r="I792" s="1"/>
      <c r="J792" s="1"/>
      <c r="K792" s="1"/>
    </row>
    <row r="793" s="279" customFormat="1" spans="1:11">
      <c r="A793" s="1"/>
      <c r="B793" s="1"/>
      <c r="C793" s="1"/>
      <c r="D793" s="1"/>
      <c r="E793" s="1"/>
      <c r="F793" s="1"/>
      <c r="G793" s="1"/>
      <c r="H793" s="1"/>
      <c r="I793" s="1"/>
      <c r="J793" s="1"/>
      <c r="K793" s="1"/>
    </row>
    <row r="794" s="279" customFormat="1" spans="1:11">
      <c r="A794" s="1"/>
      <c r="B794" s="1"/>
      <c r="C794" s="1"/>
      <c r="D794" s="1"/>
      <c r="E794" s="1"/>
      <c r="F794" s="1"/>
      <c r="G794" s="1"/>
      <c r="H794" s="1"/>
      <c r="I794" s="1"/>
      <c r="J794" s="1"/>
      <c r="K794" s="1"/>
    </row>
    <row r="795" s="279" customFormat="1" spans="1:11">
      <c r="A795" s="1"/>
      <c r="B795" s="1"/>
      <c r="C795" s="1"/>
      <c r="D795" s="1"/>
      <c r="E795" s="1"/>
      <c r="F795" s="1"/>
      <c r="G795" s="1"/>
      <c r="H795" s="1"/>
      <c r="I795" s="1"/>
      <c r="J795" s="1"/>
      <c r="K795" s="1"/>
    </row>
    <row r="796" s="279" customFormat="1" spans="1:11">
      <c r="A796" s="1"/>
      <c r="B796" s="1"/>
      <c r="C796" s="1"/>
      <c r="D796" s="1"/>
      <c r="E796" s="1"/>
      <c r="F796" s="1"/>
      <c r="G796" s="1"/>
      <c r="H796" s="1"/>
      <c r="I796" s="1"/>
      <c r="J796" s="1"/>
      <c r="K796" s="1"/>
    </row>
    <row r="797" s="279" customFormat="1" spans="1:11">
      <c r="A797" s="1"/>
      <c r="B797" s="1"/>
      <c r="C797" s="1"/>
      <c r="D797" s="1"/>
      <c r="E797" s="1"/>
      <c r="F797" s="1"/>
      <c r="G797" s="1"/>
      <c r="H797" s="1"/>
      <c r="I797" s="1"/>
      <c r="J797" s="1"/>
      <c r="K797" s="1"/>
    </row>
    <row r="798" s="279" customFormat="1" spans="1:11">
      <c r="A798" s="1"/>
      <c r="B798" s="1"/>
      <c r="C798" s="1"/>
      <c r="D798" s="1"/>
      <c r="E798" s="1"/>
      <c r="F798" s="1"/>
      <c r="G798" s="1"/>
      <c r="H798" s="1"/>
      <c r="I798" s="1"/>
      <c r="J798" s="1"/>
      <c r="K798" s="1"/>
    </row>
    <row r="799" s="279" customFormat="1" spans="1:11">
      <c r="A799" s="1"/>
      <c r="B799" s="1"/>
      <c r="C799" s="1"/>
      <c r="D799" s="1"/>
      <c r="E799" s="1"/>
      <c r="F799" s="1"/>
      <c r="G799" s="1"/>
      <c r="H799" s="1"/>
      <c r="I799" s="1"/>
      <c r="J799" s="1"/>
      <c r="K799" s="1"/>
    </row>
    <row r="800" s="279" customFormat="1" spans="1:11">
      <c r="A800" s="1"/>
      <c r="B800" s="1"/>
      <c r="C800" s="1"/>
      <c r="D800" s="1"/>
      <c r="E800" s="1"/>
      <c r="F800" s="1"/>
      <c r="G800" s="1"/>
      <c r="H800" s="1"/>
      <c r="I800" s="1"/>
      <c r="J800" s="1"/>
      <c r="K800" s="1"/>
    </row>
    <row r="801" s="279" customFormat="1" spans="1:11">
      <c r="A801" s="1"/>
      <c r="B801" s="1"/>
      <c r="C801" s="1"/>
      <c r="D801" s="1"/>
      <c r="E801" s="1"/>
      <c r="F801" s="1"/>
      <c r="G801" s="1"/>
      <c r="H801" s="1"/>
      <c r="I801" s="1"/>
      <c r="J801" s="1"/>
      <c r="K801" s="1"/>
    </row>
    <row r="802" s="279" customFormat="1" spans="1:11">
      <c r="A802" s="1"/>
      <c r="B802" s="1"/>
      <c r="C802" s="1"/>
      <c r="D802" s="1"/>
      <c r="E802" s="1"/>
      <c r="F802" s="1"/>
      <c r="G802" s="1"/>
      <c r="H802" s="1"/>
      <c r="I802" s="1"/>
      <c r="J802" s="1"/>
      <c r="K802" s="1"/>
    </row>
    <row r="803" s="279" customFormat="1" spans="1:11">
      <c r="A803" s="1"/>
      <c r="B803" s="1"/>
      <c r="C803" s="1"/>
      <c r="D803" s="1"/>
      <c r="E803" s="1"/>
      <c r="F803" s="1"/>
      <c r="G803" s="1"/>
      <c r="H803" s="1"/>
      <c r="I803" s="1"/>
      <c r="J803" s="1"/>
      <c r="K803" s="1"/>
    </row>
    <row r="804" s="279" customFormat="1" spans="1:11">
      <c r="A804" s="1"/>
      <c r="B804" s="1"/>
      <c r="C804" s="1"/>
      <c r="D804" s="1"/>
      <c r="E804" s="1"/>
      <c r="F804" s="1"/>
      <c r="G804" s="1"/>
      <c r="H804" s="1"/>
      <c r="I804" s="1"/>
      <c r="J804" s="1"/>
      <c r="K804" s="1"/>
    </row>
    <row r="805" s="279" customFormat="1" spans="1:11">
      <c r="A805" s="1"/>
      <c r="B805" s="1"/>
      <c r="C805" s="1"/>
      <c r="D805" s="1"/>
      <c r="E805" s="1"/>
      <c r="F805" s="1"/>
      <c r="G805" s="1"/>
      <c r="H805" s="1"/>
      <c r="I805" s="1"/>
      <c r="J805" s="1"/>
      <c r="K805" s="1"/>
    </row>
    <row r="806" s="279" customFormat="1" spans="1:11">
      <c r="A806" s="1"/>
      <c r="B806" s="1"/>
      <c r="C806" s="1"/>
      <c r="D806" s="1"/>
      <c r="E806" s="1"/>
      <c r="F806" s="1"/>
      <c r="G806" s="1"/>
      <c r="H806" s="1"/>
      <c r="I806" s="1"/>
      <c r="J806" s="1"/>
      <c r="K806" s="1"/>
    </row>
    <row r="807" s="279" customFormat="1" spans="1:11">
      <c r="A807" s="1"/>
      <c r="B807" s="1"/>
      <c r="C807" s="1"/>
      <c r="D807" s="1"/>
      <c r="E807" s="1"/>
      <c r="F807" s="1"/>
      <c r="G807" s="1"/>
      <c r="H807" s="1"/>
      <c r="I807" s="1"/>
      <c r="J807" s="1"/>
      <c r="K807" s="1"/>
    </row>
    <row r="808" s="279" customFormat="1" spans="1:11">
      <c r="A808" s="1"/>
      <c r="B808" s="1"/>
      <c r="C808" s="1"/>
      <c r="D808" s="1"/>
      <c r="E808" s="1"/>
      <c r="F808" s="1"/>
      <c r="G808" s="1"/>
      <c r="H808" s="1"/>
      <c r="I808" s="1"/>
      <c r="J808" s="1"/>
      <c r="K808" s="1"/>
    </row>
    <row r="809" s="279" customFormat="1" spans="1:11">
      <c r="A809" s="1"/>
      <c r="B809" s="1"/>
      <c r="C809" s="1"/>
      <c r="D809" s="1"/>
      <c r="E809" s="1"/>
      <c r="F809" s="1"/>
      <c r="G809" s="1"/>
      <c r="H809" s="1"/>
      <c r="I809" s="1"/>
      <c r="J809" s="1"/>
      <c r="K809" s="1"/>
    </row>
    <row r="810" s="279" customFormat="1" spans="1:11">
      <c r="A810" s="1"/>
      <c r="B810" s="1"/>
      <c r="C810" s="1"/>
      <c r="D810" s="1"/>
      <c r="E810" s="1"/>
      <c r="F810" s="1"/>
      <c r="G810" s="1"/>
      <c r="H810" s="1"/>
      <c r="I810" s="1"/>
      <c r="J810" s="1"/>
      <c r="K810" s="1"/>
    </row>
    <row r="811" s="279" customFormat="1" spans="1:11">
      <c r="A811" s="1"/>
      <c r="B811" s="1"/>
      <c r="C811" s="1"/>
      <c r="D811" s="1"/>
      <c r="E811" s="1"/>
      <c r="F811" s="1"/>
      <c r="G811" s="1"/>
      <c r="H811" s="1"/>
      <c r="I811" s="1"/>
      <c r="J811" s="1"/>
      <c r="K811" s="1"/>
    </row>
    <row r="812" s="279" customFormat="1" spans="1:11">
      <c r="A812" s="1"/>
      <c r="B812" s="1"/>
      <c r="C812" s="1"/>
      <c r="D812" s="1"/>
      <c r="E812" s="1"/>
      <c r="F812" s="1"/>
      <c r="G812" s="1"/>
      <c r="H812" s="1"/>
      <c r="I812" s="1"/>
      <c r="J812" s="1"/>
      <c r="K812" s="1"/>
    </row>
    <row r="813" s="279" customFormat="1" spans="1:11">
      <c r="A813" s="1"/>
      <c r="B813" s="1"/>
      <c r="C813" s="1"/>
      <c r="D813" s="1"/>
      <c r="E813" s="1"/>
      <c r="F813" s="1"/>
      <c r="G813" s="1"/>
      <c r="H813" s="1"/>
      <c r="I813" s="1"/>
      <c r="J813" s="1"/>
      <c r="K813" s="1"/>
    </row>
    <row r="814" s="279" customFormat="1" spans="1:11">
      <c r="A814" s="1"/>
      <c r="B814" s="1"/>
      <c r="C814" s="1"/>
      <c r="D814" s="1"/>
      <c r="E814" s="1"/>
      <c r="F814" s="1"/>
      <c r="G814" s="1"/>
      <c r="H814" s="1"/>
      <c r="I814" s="1"/>
      <c r="J814" s="1"/>
      <c r="K814" s="1"/>
    </row>
    <row r="815" s="279" customFormat="1" spans="1:11">
      <c r="A815" s="1"/>
      <c r="B815" s="1"/>
      <c r="C815" s="1"/>
      <c r="D815" s="1"/>
      <c r="E815" s="1"/>
      <c r="F815" s="1"/>
      <c r="G815" s="1"/>
      <c r="H815" s="1"/>
      <c r="I815" s="1"/>
      <c r="J815" s="1"/>
      <c r="K815" s="1"/>
    </row>
    <row r="816" s="279" customFormat="1" spans="1:11">
      <c r="A816" s="1"/>
      <c r="B816" s="1"/>
      <c r="C816" s="1"/>
      <c r="D816" s="1"/>
      <c r="E816" s="1"/>
      <c r="F816" s="1"/>
      <c r="G816" s="1"/>
      <c r="H816" s="1"/>
      <c r="I816" s="1"/>
      <c r="J816" s="1"/>
      <c r="K816" s="1"/>
    </row>
    <row r="817" s="279" customFormat="1" spans="1:11">
      <c r="A817" s="1"/>
      <c r="B817" s="1"/>
      <c r="C817" s="1"/>
      <c r="D817" s="1"/>
      <c r="E817" s="1"/>
      <c r="F817" s="1"/>
      <c r="G817" s="1"/>
      <c r="H817" s="1"/>
      <c r="I817" s="1"/>
      <c r="J817" s="1"/>
      <c r="K817" s="1"/>
    </row>
    <row r="818" s="279" customFormat="1" spans="1:11">
      <c r="A818" s="1"/>
      <c r="B818" s="1"/>
      <c r="C818" s="1"/>
      <c r="D818" s="1"/>
      <c r="E818" s="1"/>
      <c r="F818" s="1"/>
      <c r="G818" s="1"/>
      <c r="H818" s="1"/>
      <c r="I818" s="1"/>
      <c r="J818" s="1"/>
      <c r="K818" s="1"/>
    </row>
    <row r="819" s="279" customFormat="1" spans="1:11">
      <c r="A819" s="1"/>
      <c r="B819" s="1"/>
      <c r="C819" s="1"/>
      <c r="D819" s="1"/>
      <c r="E819" s="1"/>
      <c r="F819" s="1"/>
      <c r="G819" s="1"/>
      <c r="H819" s="1"/>
      <c r="I819" s="1"/>
      <c r="J819" s="1"/>
      <c r="K819" s="1"/>
    </row>
    <row r="820" s="279" customFormat="1" spans="1:11">
      <c r="A820" s="1"/>
      <c r="B820" s="1"/>
      <c r="C820" s="1"/>
      <c r="D820" s="1"/>
      <c r="E820" s="1"/>
      <c r="F820" s="1"/>
      <c r="G820" s="1"/>
      <c r="H820" s="1"/>
      <c r="I820" s="1"/>
      <c r="J820" s="1"/>
      <c r="K820" s="1"/>
    </row>
    <row r="821" s="279" customFormat="1" spans="1:11">
      <c r="A821" s="1"/>
      <c r="B821" s="1"/>
      <c r="C821" s="1"/>
      <c r="D821" s="1"/>
      <c r="E821" s="1"/>
      <c r="F821" s="1"/>
      <c r="G821" s="1"/>
      <c r="H821" s="1"/>
      <c r="I821" s="1"/>
      <c r="J821" s="1"/>
      <c r="K821" s="1"/>
    </row>
    <row r="822" s="279" customFormat="1" spans="1:11">
      <c r="A822" s="1"/>
      <c r="B822" s="1"/>
      <c r="C822" s="1"/>
      <c r="D822" s="1"/>
      <c r="E822" s="1"/>
      <c r="F822" s="1"/>
      <c r="G822" s="1"/>
      <c r="H822" s="1"/>
      <c r="I822" s="1"/>
      <c r="J822" s="1"/>
      <c r="K822" s="1"/>
    </row>
    <row r="823" s="279" customFormat="1" spans="1:11">
      <c r="A823" s="1"/>
      <c r="B823" s="1"/>
      <c r="C823" s="1"/>
      <c r="D823" s="1"/>
      <c r="E823" s="1"/>
      <c r="F823" s="1"/>
      <c r="G823" s="1"/>
      <c r="H823" s="1"/>
      <c r="I823" s="1"/>
      <c r="J823" s="1"/>
      <c r="K823" s="1"/>
    </row>
    <row r="824" s="279" customFormat="1" spans="1:11">
      <c r="A824" s="1"/>
      <c r="B824" s="1"/>
      <c r="C824" s="1"/>
      <c r="D824" s="1"/>
      <c r="E824" s="1"/>
      <c r="F824" s="1"/>
      <c r="G824" s="1"/>
      <c r="H824" s="1"/>
      <c r="I824" s="1"/>
      <c r="J824" s="1"/>
      <c r="K824" s="1"/>
    </row>
    <row r="825" s="279" customFormat="1" spans="1:11">
      <c r="A825" s="1"/>
      <c r="B825" s="1"/>
      <c r="C825" s="1"/>
      <c r="D825" s="1"/>
      <c r="E825" s="1"/>
      <c r="F825" s="1"/>
      <c r="G825" s="1"/>
      <c r="H825" s="1"/>
      <c r="I825" s="1"/>
      <c r="J825" s="1"/>
      <c r="K825" s="1"/>
    </row>
    <row r="826" s="279" customFormat="1" spans="1:11">
      <c r="A826" s="1"/>
      <c r="B826" s="1"/>
      <c r="C826" s="1"/>
      <c r="D826" s="1"/>
      <c r="E826" s="1"/>
      <c r="F826" s="1"/>
      <c r="G826" s="1"/>
      <c r="H826" s="1"/>
      <c r="I826" s="1"/>
      <c r="J826" s="1"/>
      <c r="K826" s="1"/>
    </row>
    <row r="827" s="279" customFormat="1" spans="1:11">
      <c r="A827" s="1"/>
      <c r="B827" s="1"/>
      <c r="C827" s="1"/>
      <c r="D827" s="1"/>
      <c r="E827" s="1"/>
      <c r="F827" s="1"/>
      <c r="G827" s="1"/>
      <c r="H827" s="1"/>
      <c r="I827" s="1"/>
      <c r="J827" s="1"/>
      <c r="K827" s="1"/>
    </row>
    <row r="828" s="279" customFormat="1" spans="1:11">
      <c r="A828" s="1"/>
      <c r="B828" s="1"/>
      <c r="C828" s="1"/>
      <c r="D828" s="1"/>
      <c r="E828" s="1"/>
      <c r="F828" s="1"/>
      <c r="G828" s="1"/>
      <c r="H828" s="1"/>
      <c r="I828" s="1"/>
      <c r="J828" s="1"/>
      <c r="K828" s="1"/>
    </row>
    <row r="829" s="279" customFormat="1" spans="1:11">
      <c r="A829" s="1"/>
      <c r="B829" s="1"/>
      <c r="C829" s="1"/>
      <c r="D829" s="1"/>
      <c r="E829" s="1"/>
      <c r="F829" s="1"/>
      <c r="G829" s="1"/>
      <c r="H829" s="1"/>
      <c r="I829" s="1"/>
      <c r="J829" s="1"/>
      <c r="K829" s="1"/>
    </row>
    <row r="830" s="279" customFormat="1" spans="1:11">
      <c r="A830" s="1"/>
      <c r="B830" s="1"/>
      <c r="C830" s="1"/>
      <c r="D830" s="1"/>
      <c r="E830" s="1"/>
      <c r="F830" s="1"/>
      <c r="G830" s="1"/>
      <c r="H830" s="1"/>
      <c r="I830" s="1"/>
      <c r="J830" s="1"/>
      <c r="K830" s="1"/>
    </row>
    <row r="831" s="279" customFormat="1" spans="1:11">
      <c r="A831" s="1"/>
      <c r="B831" s="1"/>
      <c r="C831" s="1"/>
      <c r="D831" s="1"/>
      <c r="E831" s="1"/>
      <c r="F831" s="1"/>
      <c r="G831" s="1"/>
      <c r="H831" s="1"/>
      <c r="I831" s="1"/>
      <c r="J831" s="1"/>
      <c r="K831" s="1"/>
    </row>
    <row r="832" s="279" customFormat="1" spans="1:11">
      <c r="A832" s="1"/>
      <c r="B832" s="1"/>
      <c r="C832" s="1"/>
      <c r="D832" s="1"/>
      <c r="E832" s="1"/>
      <c r="F832" s="1"/>
      <c r="G832" s="1"/>
      <c r="H832" s="1"/>
      <c r="I832" s="1"/>
      <c r="J832" s="1"/>
      <c r="K832" s="1"/>
    </row>
    <row r="833" s="279" customFormat="1" spans="1:11">
      <c r="A833" s="1"/>
      <c r="B833" s="1"/>
      <c r="C833" s="1"/>
      <c r="D833" s="1"/>
      <c r="E833" s="1"/>
      <c r="F833" s="1"/>
      <c r="G833" s="1"/>
      <c r="H833" s="1"/>
      <c r="I833" s="1"/>
      <c r="J833" s="1"/>
      <c r="K833" s="1"/>
    </row>
    <row r="834" s="279" customFormat="1" spans="1:11">
      <c r="A834" s="1"/>
      <c r="B834" s="1"/>
      <c r="C834" s="1"/>
      <c r="D834" s="1"/>
      <c r="E834" s="1"/>
      <c r="F834" s="1"/>
      <c r="G834" s="1"/>
      <c r="H834" s="1"/>
      <c r="I834" s="1"/>
      <c r="J834" s="1"/>
      <c r="K834" s="1"/>
    </row>
    <row r="835" s="279" customFormat="1" spans="1:11">
      <c r="A835" s="1"/>
      <c r="B835" s="1"/>
      <c r="C835" s="1"/>
      <c r="D835" s="1"/>
      <c r="E835" s="1"/>
      <c r="F835" s="1"/>
      <c r="G835" s="1"/>
      <c r="H835" s="1"/>
      <c r="I835" s="1"/>
      <c r="J835" s="1"/>
      <c r="K835" s="1"/>
    </row>
    <row r="836" s="279" customFormat="1" spans="1:11">
      <c r="A836" s="1"/>
      <c r="B836" s="1"/>
      <c r="C836" s="1"/>
      <c r="D836" s="1"/>
      <c r="E836" s="1"/>
      <c r="F836" s="1"/>
      <c r="G836" s="1"/>
      <c r="H836" s="1"/>
      <c r="I836" s="1"/>
      <c r="J836" s="1"/>
      <c r="K836" s="1"/>
    </row>
    <row r="837" s="279" customFormat="1" spans="1:11">
      <c r="A837" s="1"/>
      <c r="B837" s="1"/>
      <c r="C837" s="1"/>
      <c r="D837" s="1"/>
      <c r="E837" s="1"/>
      <c r="F837" s="1"/>
      <c r="G837" s="1"/>
      <c r="H837" s="1"/>
      <c r="I837" s="1"/>
      <c r="J837" s="1"/>
      <c r="K837" s="1"/>
    </row>
    <row r="838" s="279" customFormat="1" spans="1:11">
      <c r="A838" s="1"/>
      <c r="B838" s="1"/>
      <c r="C838" s="1"/>
      <c r="D838" s="1"/>
      <c r="E838" s="1"/>
      <c r="F838" s="1"/>
      <c r="G838" s="1"/>
      <c r="H838" s="1"/>
      <c r="I838" s="1"/>
      <c r="J838" s="1"/>
      <c r="K838" s="1"/>
    </row>
    <row r="839" s="279" customFormat="1" spans="1:11">
      <c r="A839" s="1"/>
      <c r="B839" s="1"/>
      <c r="C839" s="1"/>
      <c r="D839" s="1"/>
      <c r="E839" s="1"/>
      <c r="F839" s="1"/>
      <c r="G839" s="1"/>
      <c r="H839" s="1"/>
      <c r="I839" s="1"/>
      <c r="J839" s="1"/>
      <c r="K839" s="1"/>
    </row>
    <row r="840" s="279" customFormat="1" spans="1:11">
      <c r="A840" s="1"/>
      <c r="B840" s="1"/>
      <c r="C840" s="1"/>
      <c r="D840" s="1"/>
      <c r="E840" s="1"/>
      <c r="F840" s="1"/>
      <c r="G840" s="1"/>
      <c r="H840" s="1"/>
      <c r="I840" s="1"/>
      <c r="J840" s="1"/>
      <c r="K840" s="1"/>
    </row>
    <row r="841" s="279" customFormat="1" spans="1:11">
      <c r="A841" s="1"/>
      <c r="B841" s="1"/>
      <c r="C841" s="1"/>
      <c r="D841" s="1"/>
      <c r="E841" s="1"/>
      <c r="F841" s="1"/>
      <c r="G841" s="1"/>
      <c r="H841" s="1"/>
      <c r="I841" s="1"/>
      <c r="J841" s="1"/>
      <c r="K841" s="1"/>
    </row>
    <row r="842" s="279" customFormat="1" spans="1:11">
      <c r="A842" s="1"/>
      <c r="B842" s="1"/>
      <c r="C842" s="1"/>
      <c r="D842" s="1"/>
      <c r="E842" s="1"/>
      <c r="F842" s="1"/>
      <c r="G842" s="1"/>
      <c r="H842" s="1"/>
      <c r="I842" s="1"/>
      <c r="J842" s="1"/>
      <c r="K842" s="1"/>
    </row>
    <row r="843" s="279" customFormat="1" spans="1:11">
      <c r="A843" s="1"/>
      <c r="B843" s="1"/>
      <c r="C843" s="1"/>
      <c r="D843" s="1"/>
      <c r="E843" s="1"/>
      <c r="F843" s="1"/>
      <c r="G843" s="1"/>
      <c r="H843" s="1"/>
      <c r="I843" s="1"/>
      <c r="J843" s="1"/>
      <c r="K843" s="1"/>
    </row>
    <row r="844" s="279" customFormat="1" spans="1:11">
      <c r="A844" s="1"/>
      <c r="B844" s="1"/>
      <c r="C844" s="1"/>
      <c r="D844" s="1"/>
      <c r="E844" s="1"/>
      <c r="F844" s="1"/>
      <c r="G844" s="1"/>
      <c r="H844" s="1"/>
      <c r="I844" s="1"/>
      <c r="J844" s="1"/>
      <c r="K844" s="1"/>
    </row>
    <row r="845" s="279" customFormat="1" spans="1:11">
      <c r="A845" s="1"/>
      <c r="B845" s="1"/>
      <c r="C845" s="1"/>
      <c r="D845" s="1"/>
      <c r="E845" s="1"/>
      <c r="F845" s="1"/>
      <c r="G845" s="1"/>
      <c r="H845" s="1"/>
      <c r="I845" s="1"/>
      <c r="J845" s="1"/>
      <c r="K845" s="1"/>
    </row>
    <row r="846" s="279" customFormat="1" spans="1:11">
      <c r="A846" s="1"/>
      <c r="B846" s="1"/>
      <c r="C846" s="1"/>
      <c r="D846" s="1"/>
      <c r="E846" s="1"/>
      <c r="F846" s="1"/>
      <c r="G846" s="1"/>
      <c r="H846" s="1"/>
      <c r="I846" s="1"/>
      <c r="J846" s="1"/>
      <c r="K846" s="1"/>
    </row>
    <row r="847" s="279" customFormat="1" spans="1:11">
      <c r="A847" s="1"/>
      <c r="B847" s="1"/>
      <c r="C847" s="1"/>
      <c r="D847" s="1"/>
      <c r="E847" s="1"/>
      <c r="F847" s="1"/>
      <c r="G847" s="1"/>
      <c r="H847" s="1"/>
      <c r="I847" s="1"/>
      <c r="J847" s="1"/>
      <c r="K847" s="1"/>
    </row>
    <row r="848" s="279" customFormat="1" spans="1:11">
      <c r="A848" s="1"/>
      <c r="B848" s="1"/>
      <c r="C848" s="1"/>
      <c r="D848" s="1"/>
      <c r="E848" s="1"/>
      <c r="F848" s="1"/>
      <c r="G848" s="1"/>
      <c r="H848" s="1"/>
      <c r="I848" s="1"/>
      <c r="J848" s="1"/>
      <c r="K848" s="1"/>
    </row>
    <row r="849" s="279" customFormat="1" spans="1:11">
      <c r="A849" s="1"/>
      <c r="B849" s="1"/>
      <c r="C849" s="1"/>
      <c r="D849" s="1"/>
      <c r="E849" s="1"/>
      <c r="F849" s="1"/>
      <c r="G849" s="1"/>
      <c r="H849" s="1"/>
      <c r="I849" s="1"/>
      <c r="J849" s="1"/>
      <c r="K849" s="1"/>
    </row>
    <row r="850" s="279" customFormat="1" spans="1:11">
      <c r="A850" s="1"/>
      <c r="B850" s="1"/>
      <c r="C850" s="1"/>
      <c r="D850" s="1"/>
      <c r="E850" s="1"/>
      <c r="F850" s="1"/>
      <c r="G850" s="1"/>
      <c r="H850" s="1"/>
      <c r="I850" s="1"/>
      <c r="J850" s="1"/>
      <c r="K850" s="1"/>
    </row>
    <row r="851" s="279" customFormat="1" spans="1:11">
      <c r="A851" s="1"/>
      <c r="B851" s="1"/>
      <c r="C851" s="1"/>
      <c r="D851" s="1"/>
      <c r="E851" s="1"/>
      <c r="F851" s="1"/>
      <c r="G851" s="1"/>
      <c r="H851" s="1"/>
      <c r="I851" s="1"/>
      <c r="J851" s="1"/>
      <c r="K851" s="1"/>
    </row>
    <row r="852" s="279" customFormat="1" spans="1:11">
      <c r="A852" s="1"/>
      <c r="B852" s="1"/>
      <c r="C852" s="1"/>
      <c r="D852" s="1"/>
      <c r="E852" s="1"/>
      <c r="F852" s="1"/>
      <c r="G852" s="1"/>
      <c r="H852" s="1"/>
      <c r="I852" s="1"/>
      <c r="J852" s="1"/>
      <c r="K852" s="1"/>
    </row>
    <row r="853" s="279" customFormat="1" spans="1:11">
      <c r="A853" s="1"/>
      <c r="B853" s="1"/>
      <c r="C853" s="1"/>
      <c r="D853" s="1"/>
      <c r="E853" s="1"/>
      <c r="F853" s="1"/>
      <c r="G853" s="1"/>
      <c r="H853" s="1"/>
      <c r="I853" s="1"/>
      <c r="J853" s="1"/>
      <c r="K853" s="1"/>
    </row>
    <row r="854" s="279" customFormat="1" spans="1:11">
      <c r="A854" s="1"/>
      <c r="B854" s="1"/>
      <c r="C854" s="1"/>
      <c r="D854" s="1"/>
      <c r="E854" s="1"/>
      <c r="F854" s="1"/>
      <c r="G854" s="1"/>
      <c r="H854" s="1"/>
      <c r="I854" s="1"/>
      <c r="J854" s="1"/>
      <c r="K854" s="1"/>
    </row>
    <row r="855" s="279" customFormat="1" spans="1:11">
      <c r="A855" s="1"/>
      <c r="B855" s="1"/>
      <c r="C855" s="1"/>
      <c r="D855" s="1"/>
      <c r="E855" s="1"/>
      <c r="F855" s="1"/>
      <c r="G855" s="1"/>
      <c r="H855" s="1"/>
      <c r="I855" s="1"/>
      <c r="J855" s="1"/>
      <c r="K855" s="1"/>
    </row>
    <row r="856" s="279" customFormat="1" spans="1:11">
      <c r="A856" s="1"/>
      <c r="B856" s="1"/>
      <c r="C856" s="1"/>
      <c r="D856" s="1"/>
      <c r="E856" s="1"/>
      <c r="F856" s="1"/>
      <c r="G856" s="1"/>
      <c r="H856" s="1"/>
      <c r="I856" s="1"/>
      <c r="J856" s="1"/>
      <c r="K856" s="1"/>
    </row>
    <row r="857" s="279" customFormat="1" spans="1:11">
      <c r="A857" s="1"/>
      <c r="B857" s="1"/>
      <c r="C857" s="1"/>
      <c r="D857" s="1"/>
      <c r="E857" s="1"/>
      <c r="F857" s="1"/>
      <c r="G857" s="1"/>
      <c r="H857" s="1"/>
      <c r="I857" s="1"/>
      <c r="J857" s="1"/>
      <c r="K857" s="1"/>
    </row>
    <row r="858" s="279" customFormat="1" spans="1:11">
      <c r="A858" s="1"/>
      <c r="B858" s="1"/>
      <c r="C858" s="1"/>
      <c r="D858" s="1"/>
      <c r="E858" s="1"/>
      <c r="F858" s="1"/>
      <c r="G858" s="1"/>
      <c r="H858" s="1"/>
      <c r="I858" s="1"/>
      <c r="J858" s="1"/>
      <c r="K858" s="1"/>
    </row>
    <row r="859" s="279" customFormat="1" spans="1:11">
      <c r="A859" s="1"/>
      <c r="B859" s="1"/>
      <c r="C859" s="1"/>
      <c r="D859" s="1"/>
      <c r="E859" s="1"/>
      <c r="F859" s="1"/>
      <c r="G859" s="1"/>
      <c r="H859" s="1"/>
      <c r="I859" s="1"/>
      <c r="J859" s="1"/>
      <c r="K859" s="1"/>
    </row>
    <row r="860" s="279" customFormat="1" spans="1:11">
      <c r="A860" s="1"/>
      <c r="B860" s="1"/>
      <c r="C860" s="1"/>
      <c r="D860" s="1"/>
      <c r="E860" s="1"/>
      <c r="F860" s="1"/>
      <c r="G860" s="1"/>
      <c r="H860" s="1"/>
      <c r="I860" s="1"/>
      <c r="J860" s="1"/>
      <c r="K860" s="1"/>
    </row>
    <row r="861" s="279" customFormat="1" spans="1:11">
      <c r="A861" s="1"/>
      <c r="B861" s="1"/>
      <c r="C861" s="1"/>
      <c r="D861" s="1"/>
      <c r="E861" s="1"/>
      <c r="F861" s="1"/>
      <c r="G861" s="1"/>
      <c r="H861" s="1"/>
      <c r="I861" s="1"/>
      <c r="J861" s="1"/>
      <c r="K861" s="1"/>
    </row>
    <row r="862" s="279" customFormat="1" spans="1:11">
      <c r="A862" s="1"/>
      <c r="B862" s="1"/>
      <c r="C862" s="1"/>
      <c r="D862" s="1"/>
      <c r="E862" s="1"/>
      <c r="F862" s="1"/>
      <c r="G862" s="1"/>
      <c r="H862" s="1"/>
      <c r="I862" s="1"/>
      <c r="J862" s="1"/>
      <c r="K862" s="1"/>
    </row>
    <row r="863" s="279" customFormat="1" spans="1:11">
      <c r="A863" s="1"/>
      <c r="B863" s="1"/>
      <c r="C863" s="1"/>
      <c r="D863" s="1"/>
      <c r="E863" s="1"/>
      <c r="F863" s="1"/>
      <c r="G863" s="1"/>
      <c r="H863" s="1"/>
      <c r="I863" s="1"/>
      <c r="J863" s="1"/>
      <c r="K863" s="1"/>
    </row>
    <row r="864" s="279" customFormat="1" spans="1:11">
      <c r="A864" s="1"/>
      <c r="B864" s="1"/>
      <c r="C864" s="1"/>
      <c r="D864" s="1"/>
      <c r="E864" s="1"/>
      <c r="F864" s="1"/>
      <c r="G864" s="1"/>
      <c r="H864" s="1"/>
      <c r="I864" s="1"/>
      <c r="J864" s="1"/>
      <c r="K864" s="1"/>
    </row>
    <row r="865" s="279" customFormat="1" spans="1:11">
      <c r="A865" s="1"/>
      <c r="B865" s="1"/>
      <c r="C865" s="1"/>
      <c r="D865" s="1"/>
      <c r="E865" s="1"/>
      <c r="F865" s="1"/>
      <c r="G865" s="1"/>
      <c r="H865" s="1"/>
      <c r="I865" s="1"/>
      <c r="J865" s="1"/>
      <c r="K865" s="1"/>
    </row>
    <row r="866" s="279" customFormat="1" spans="1:11">
      <c r="A866" s="1"/>
      <c r="B866" s="1"/>
      <c r="C866" s="1"/>
      <c r="D866" s="1"/>
      <c r="E866" s="1"/>
      <c r="F866" s="1"/>
      <c r="G866" s="1"/>
      <c r="H866" s="1"/>
      <c r="I866" s="1"/>
      <c r="J866" s="1"/>
      <c r="K866" s="1"/>
    </row>
    <row r="867" s="279" customFormat="1" spans="1:11">
      <c r="A867" s="1"/>
      <c r="B867" s="1"/>
      <c r="C867" s="1"/>
      <c r="D867" s="1"/>
      <c r="E867" s="1"/>
      <c r="F867" s="1"/>
      <c r="G867" s="1"/>
      <c r="H867" s="1"/>
      <c r="I867" s="1"/>
      <c r="J867" s="1"/>
      <c r="K867" s="1"/>
    </row>
    <row r="868" s="279" customFormat="1" spans="1:11">
      <c r="A868" s="1"/>
      <c r="B868" s="1"/>
      <c r="C868" s="1"/>
      <c r="D868" s="1"/>
      <c r="E868" s="1"/>
      <c r="F868" s="1"/>
      <c r="G868" s="1"/>
      <c r="H868" s="1"/>
      <c r="I868" s="1"/>
      <c r="J868" s="1"/>
      <c r="K868" s="1"/>
    </row>
    <row r="869" s="279" customFormat="1" spans="1:11">
      <c r="A869" s="1"/>
      <c r="B869" s="1"/>
      <c r="C869" s="1"/>
      <c r="D869" s="1"/>
      <c r="E869" s="1"/>
      <c r="F869" s="1"/>
      <c r="G869" s="1"/>
      <c r="H869" s="1"/>
      <c r="I869" s="1"/>
      <c r="J869" s="1"/>
      <c r="K869" s="1"/>
    </row>
    <row r="870" s="279" customFormat="1" spans="1:11">
      <c r="A870" s="1"/>
      <c r="B870" s="1"/>
      <c r="C870" s="1"/>
      <c r="D870" s="1"/>
      <c r="E870" s="1"/>
      <c r="F870" s="1"/>
      <c r="G870" s="1"/>
      <c r="H870" s="1"/>
      <c r="I870" s="1"/>
      <c r="J870" s="1"/>
      <c r="K870" s="1"/>
    </row>
    <row r="871" s="279" customFormat="1" spans="1:11">
      <c r="A871" s="1"/>
      <c r="B871" s="1"/>
      <c r="C871" s="1"/>
      <c r="D871" s="1"/>
      <c r="E871" s="1"/>
      <c r="F871" s="1"/>
      <c r="G871" s="1"/>
      <c r="H871" s="1"/>
      <c r="I871" s="1"/>
      <c r="J871" s="1"/>
      <c r="K871" s="1"/>
    </row>
    <row r="872" s="279" customFormat="1" spans="1:11">
      <c r="A872" s="1"/>
      <c r="B872" s="1"/>
      <c r="C872" s="1"/>
      <c r="D872" s="1"/>
      <c r="E872" s="1"/>
      <c r="F872" s="1"/>
      <c r="G872" s="1"/>
      <c r="H872" s="1"/>
      <c r="I872" s="1"/>
      <c r="J872" s="1"/>
      <c r="K872" s="1"/>
    </row>
    <row r="873" s="279" customFormat="1" spans="1:11">
      <c r="A873" s="1"/>
      <c r="B873" s="1"/>
      <c r="C873" s="1"/>
      <c r="D873" s="1"/>
      <c r="E873" s="1"/>
      <c r="F873" s="1"/>
      <c r="G873" s="1"/>
      <c r="H873" s="1"/>
      <c r="I873" s="1"/>
      <c r="J873" s="1"/>
      <c r="K873" s="1"/>
    </row>
    <row r="874" s="279" customFormat="1" spans="1:11">
      <c r="A874" s="1"/>
      <c r="B874" s="1"/>
      <c r="C874" s="1"/>
      <c r="D874" s="1"/>
      <c r="E874" s="1"/>
      <c r="F874" s="1"/>
      <c r="G874" s="1"/>
      <c r="H874" s="1"/>
      <c r="I874" s="1"/>
      <c r="J874" s="1"/>
      <c r="K874" s="1"/>
    </row>
    <row r="875" s="279" customFormat="1" spans="1:11">
      <c r="A875" s="1"/>
      <c r="B875" s="1"/>
      <c r="C875" s="1"/>
      <c r="D875" s="1"/>
      <c r="E875" s="1"/>
      <c r="F875" s="1"/>
      <c r="G875" s="1"/>
      <c r="H875" s="1"/>
      <c r="I875" s="1"/>
      <c r="J875" s="1"/>
      <c r="K875" s="1"/>
    </row>
    <row r="876" s="279" customFormat="1" spans="1:11">
      <c r="A876" s="1"/>
      <c r="B876" s="1"/>
      <c r="C876" s="1"/>
      <c r="D876" s="1"/>
      <c r="E876" s="1"/>
      <c r="F876" s="1"/>
      <c r="G876" s="1"/>
      <c r="H876" s="1"/>
      <c r="I876" s="1"/>
      <c r="J876" s="1"/>
      <c r="K876" s="1"/>
    </row>
    <row r="877" s="279" customFormat="1" spans="1:11">
      <c r="A877" s="1"/>
      <c r="B877" s="1"/>
      <c r="C877" s="1"/>
      <c r="D877" s="1"/>
      <c r="E877" s="1"/>
      <c r="F877" s="1"/>
      <c r="G877" s="1"/>
      <c r="H877" s="1"/>
      <c r="I877" s="1"/>
      <c r="J877" s="1"/>
      <c r="K877" s="1"/>
    </row>
  </sheetData>
  <autoFilter ref="A1:K38">
    <extLst/>
  </autoFilter>
  <mergeCells count="6">
    <mergeCell ref="H12:H21"/>
    <mergeCell ref="H23:H28"/>
    <mergeCell ref="H32:H38"/>
    <mergeCell ref="I12:I21"/>
    <mergeCell ref="I23:I28"/>
    <mergeCell ref="I32:I38"/>
  </mergeCells>
  <dataValidations count="1">
    <dataValidation type="list" allowBlank="1" showInputMessage="1" showErrorMessage="1" errorTitle="拉线是否输错" sqref="B2 C2 B3 C3 B4 C4 B5 C5 B9 C9" errorStyle="information">
      <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3"/>
  <sheetViews>
    <sheetView workbookViewId="0">
      <selection activeCell="K13" sqref="A12:K15"/>
    </sheetView>
  </sheetViews>
  <sheetFormatPr defaultColWidth="9" defaultRowHeight="13.5"/>
  <cols>
    <col min="1" max="2" width="9" style="45"/>
    <col min="3" max="3" width="8.89166666666667" style="45" customWidth="1"/>
    <col min="4" max="4" width="9.10833333333333" style="45" customWidth="1"/>
    <col min="5" max="5" width="8.89166666666667" style="45" customWidth="1"/>
    <col min="6" max="6" width="15.3333333333333" style="45" customWidth="1"/>
    <col min="7" max="7" width="9" style="45"/>
    <col min="8" max="8" width="12.6666666666667" style="45"/>
    <col min="9" max="11" width="9" style="45"/>
    <col min="12" max="12" width="8.10833333333333" style="45"/>
    <col min="13" max="13" width="16.6666666666667" style="272"/>
    <col min="14" max="16384" width="9" style="45"/>
  </cols>
  <sheetData>
    <row r="1" spans="1:14">
      <c r="A1" s="45" t="s">
        <v>57</v>
      </c>
      <c r="B1" s="45" t="s">
        <v>118</v>
      </c>
      <c r="C1" s="45" t="s">
        <v>119</v>
      </c>
      <c r="D1" s="45" t="s">
        <v>120</v>
      </c>
      <c r="E1" s="45" t="s">
        <v>121</v>
      </c>
      <c r="F1" s="45" t="s">
        <v>122</v>
      </c>
      <c r="G1" s="45" t="s">
        <v>123</v>
      </c>
      <c r="H1" s="45" t="s">
        <v>124</v>
      </c>
      <c r="L1" t="s">
        <v>57</v>
      </c>
      <c r="M1" t="s">
        <v>125</v>
      </c>
      <c r="N1"/>
    </row>
    <row r="2" spans="1:14">
      <c r="A2" s="273">
        <v>44838</v>
      </c>
      <c r="B2" s="27" t="s">
        <v>36</v>
      </c>
      <c r="C2" s="273" t="s">
        <v>126</v>
      </c>
      <c r="D2" s="27" t="s">
        <v>127</v>
      </c>
      <c r="E2" s="27">
        <v>8000</v>
      </c>
      <c r="F2" s="45" t="str">
        <f t="shared" ref="F2:F65" si="0">B2&amp;D2</f>
        <v>雾化芯C328G</v>
      </c>
      <c r="G2" s="274">
        <f>27/1050*41</f>
        <v>1.05428571428571</v>
      </c>
      <c r="H2" s="272">
        <f t="shared" ref="H2:H65" si="1">G2*E2</f>
        <v>8434.28571428571</v>
      </c>
      <c r="L2" s="276">
        <v>44838</v>
      </c>
      <c r="M2" s="277">
        <v>265393.071510962</v>
      </c>
      <c r="N2"/>
    </row>
    <row r="3" spans="1:14">
      <c r="A3" s="273">
        <v>44838</v>
      </c>
      <c r="B3" s="27" t="s">
        <v>36</v>
      </c>
      <c r="C3" s="273" t="s">
        <v>126</v>
      </c>
      <c r="D3" s="27" t="s">
        <v>128</v>
      </c>
      <c r="E3" s="27">
        <v>7840</v>
      </c>
      <c r="F3" s="45" t="str">
        <f t="shared" si="0"/>
        <v>雾化芯C331</v>
      </c>
      <c r="G3" s="274">
        <v>1.21326530612245</v>
      </c>
      <c r="H3" s="272">
        <f t="shared" si="1"/>
        <v>9512.00000000001</v>
      </c>
      <c r="L3" s="276">
        <v>44839</v>
      </c>
      <c r="M3" s="277">
        <v>300429.836796267</v>
      </c>
      <c r="N3"/>
    </row>
    <row r="4" spans="1:14">
      <c r="A4" s="273">
        <v>44838</v>
      </c>
      <c r="B4" s="27" t="s">
        <v>36</v>
      </c>
      <c r="C4" s="273" t="s">
        <v>126</v>
      </c>
      <c r="D4" s="27" t="s">
        <v>129</v>
      </c>
      <c r="E4" s="27">
        <v>8200</v>
      </c>
      <c r="F4" s="45" t="str">
        <f t="shared" si="0"/>
        <v>雾化芯C343A</v>
      </c>
      <c r="G4" s="274">
        <v>1.23440860215054</v>
      </c>
      <c r="H4" s="272">
        <f t="shared" si="1"/>
        <v>10122.1505376344</v>
      </c>
      <c r="L4" s="276">
        <v>44840</v>
      </c>
      <c r="M4" s="277">
        <v>333939.554384006</v>
      </c>
      <c r="N4"/>
    </row>
    <row r="5" spans="1:14">
      <c r="A5" s="273">
        <v>44838</v>
      </c>
      <c r="B5" s="27" t="s">
        <v>36</v>
      </c>
      <c r="C5" s="273" t="s">
        <v>126</v>
      </c>
      <c r="D5" s="27" t="s">
        <v>130</v>
      </c>
      <c r="E5" s="27">
        <v>1800</v>
      </c>
      <c r="F5" s="45" t="str">
        <f t="shared" si="0"/>
        <v>雾化芯C347E</v>
      </c>
      <c r="G5" s="274">
        <v>1.30454545454545</v>
      </c>
      <c r="H5" s="272">
        <f t="shared" si="1"/>
        <v>2348.18181818181</v>
      </c>
      <c r="L5" s="276">
        <v>44841</v>
      </c>
      <c r="M5" s="277">
        <v>353031.329283154</v>
      </c>
      <c r="N5"/>
    </row>
    <row r="6" spans="1:14">
      <c r="A6" s="273">
        <v>44838</v>
      </c>
      <c r="B6" s="27" t="s">
        <v>37</v>
      </c>
      <c r="C6" s="273" t="s">
        <v>131</v>
      </c>
      <c r="D6" s="27" t="s">
        <v>132</v>
      </c>
      <c r="E6" s="27">
        <v>318</v>
      </c>
      <c r="F6" s="45" t="str">
        <f t="shared" si="0"/>
        <v>一次性烟KD046</v>
      </c>
      <c r="G6" s="274">
        <v>2.81142857142857</v>
      </c>
      <c r="H6" s="272">
        <f t="shared" si="1"/>
        <v>894.034285714285</v>
      </c>
      <c r="L6" t="s">
        <v>133</v>
      </c>
      <c r="M6" s="277">
        <v>1252793.79197439</v>
      </c>
      <c r="N6"/>
    </row>
    <row r="7" spans="1:14">
      <c r="A7" s="273">
        <v>44838</v>
      </c>
      <c r="B7" s="27" t="s">
        <v>37</v>
      </c>
      <c r="C7" s="275" t="s">
        <v>131</v>
      </c>
      <c r="D7" s="27" t="s">
        <v>134</v>
      </c>
      <c r="E7" s="27">
        <v>6923</v>
      </c>
      <c r="F7" s="45" t="str">
        <f t="shared" si="0"/>
        <v>一次性烟KD050</v>
      </c>
      <c r="G7" s="274">
        <v>2.99</v>
      </c>
      <c r="H7" s="272">
        <f t="shared" si="1"/>
        <v>20699.77</v>
      </c>
      <c r="L7"/>
      <c r="M7" s="277"/>
      <c r="N7"/>
    </row>
    <row r="8" spans="1:14">
      <c r="A8" s="273">
        <v>44838</v>
      </c>
      <c r="B8" s="27" t="s">
        <v>37</v>
      </c>
      <c r="C8" s="275" t="s">
        <v>131</v>
      </c>
      <c r="D8" s="27" t="s">
        <v>135</v>
      </c>
      <c r="E8" s="27">
        <v>9800</v>
      </c>
      <c r="F8" s="45" t="str">
        <f t="shared" si="0"/>
        <v>一次性烟KD053</v>
      </c>
      <c r="G8" s="274">
        <v>2.37</v>
      </c>
      <c r="H8" s="272">
        <f t="shared" si="1"/>
        <v>23226</v>
      </c>
      <c r="L8"/>
      <c r="M8" s="277"/>
      <c r="N8"/>
    </row>
    <row r="9" spans="1:14">
      <c r="A9" s="273">
        <v>44838</v>
      </c>
      <c r="B9" s="27" t="s">
        <v>37</v>
      </c>
      <c r="C9" s="273" t="s">
        <v>131</v>
      </c>
      <c r="D9" s="27" t="s">
        <v>136</v>
      </c>
      <c r="E9" s="27">
        <v>8663</v>
      </c>
      <c r="F9" s="45" t="str">
        <f t="shared" si="0"/>
        <v>一次性烟KD054</v>
      </c>
      <c r="G9" s="274">
        <v>2.09</v>
      </c>
      <c r="H9" s="272">
        <f t="shared" si="1"/>
        <v>18105.67</v>
      </c>
      <c r="L9"/>
      <c r="M9" s="277"/>
      <c r="N9"/>
    </row>
    <row r="10" spans="1:14">
      <c r="A10" s="273">
        <v>44838</v>
      </c>
      <c r="B10" s="27" t="s">
        <v>37</v>
      </c>
      <c r="C10" s="275" t="s">
        <v>131</v>
      </c>
      <c r="D10" s="27" t="s">
        <v>137</v>
      </c>
      <c r="E10" s="27">
        <v>22000</v>
      </c>
      <c r="F10" s="45" t="str">
        <f t="shared" si="0"/>
        <v>一次性烟UD005R</v>
      </c>
      <c r="G10" s="274">
        <v>1.84</v>
      </c>
      <c r="H10" s="272">
        <f t="shared" si="1"/>
        <v>40480</v>
      </c>
      <c r="K10" s="272"/>
      <c r="L10"/>
      <c r="M10" s="277"/>
      <c r="N10"/>
    </row>
    <row r="11" spans="1:14">
      <c r="A11" s="273">
        <v>44838</v>
      </c>
      <c r="B11" s="27" t="s">
        <v>37</v>
      </c>
      <c r="C11" s="273" t="s">
        <v>138</v>
      </c>
      <c r="D11" s="27" t="s">
        <v>139</v>
      </c>
      <c r="E11" s="27">
        <v>500</v>
      </c>
      <c r="F11" s="45" t="str">
        <f t="shared" si="0"/>
        <v>一次性烟UD009</v>
      </c>
      <c r="G11" s="274">
        <v>2.79</v>
      </c>
      <c r="H11" s="272">
        <f t="shared" si="1"/>
        <v>1395</v>
      </c>
      <c r="L11"/>
      <c r="M11" s="277"/>
      <c r="N11"/>
    </row>
    <row r="12" spans="1:14">
      <c r="A12" s="273">
        <v>44838</v>
      </c>
      <c r="B12" s="27" t="s">
        <v>37</v>
      </c>
      <c r="C12" s="273" t="s">
        <v>138</v>
      </c>
      <c r="D12" s="27" t="s">
        <v>140</v>
      </c>
      <c r="E12" s="27">
        <v>200</v>
      </c>
      <c r="F12" s="45" t="str">
        <f t="shared" si="0"/>
        <v>一次性烟UD009A</v>
      </c>
      <c r="G12" s="274">
        <v>2.79</v>
      </c>
      <c r="H12" s="272">
        <f t="shared" si="1"/>
        <v>558</v>
      </c>
      <c r="L12"/>
      <c r="M12" s="277"/>
      <c r="N12"/>
    </row>
    <row r="13" spans="1:14">
      <c r="A13" s="273">
        <v>44838</v>
      </c>
      <c r="B13" s="27" t="s">
        <v>37</v>
      </c>
      <c r="C13" s="273" t="s">
        <v>138</v>
      </c>
      <c r="D13" s="27" t="s">
        <v>81</v>
      </c>
      <c r="E13" s="27">
        <v>10900</v>
      </c>
      <c r="F13" s="45" t="str">
        <f t="shared" si="0"/>
        <v>一次性烟UD015</v>
      </c>
      <c r="G13" s="274">
        <v>2.46</v>
      </c>
      <c r="H13" s="272">
        <f t="shared" si="1"/>
        <v>26814</v>
      </c>
      <c r="L13"/>
      <c r="M13" s="277"/>
      <c r="N13"/>
    </row>
    <row r="14" spans="1:14">
      <c r="A14" s="273">
        <v>44838</v>
      </c>
      <c r="B14" s="27" t="s">
        <v>37</v>
      </c>
      <c r="C14" s="273" t="s">
        <v>138</v>
      </c>
      <c r="D14" s="27" t="s">
        <v>141</v>
      </c>
      <c r="E14" s="27">
        <v>14080</v>
      </c>
      <c r="F14" s="45" t="str">
        <f t="shared" si="0"/>
        <v>一次性烟UD015A</v>
      </c>
      <c r="G14" s="274">
        <v>2.51857142857143</v>
      </c>
      <c r="H14" s="272">
        <f t="shared" si="1"/>
        <v>35461.4857142857</v>
      </c>
      <c r="L14"/>
      <c r="M14" s="277"/>
      <c r="N14"/>
    </row>
    <row r="15" spans="1:14">
      <c r="A15" s="273">
        <v>44838</v>
      </c>
      <c r="B15" s="27" t="s">
        <v>37</v>
      </c>
      <c r="C15" s="273" t="s">
        <v>138</v>
      </c>
      <c r="D15" s="27" t="s">
        <v>142</v>
      </c>
      <c r="E15" s="27">
        <v>3304</v>
      </c>
      <c r="F15" s="45" t="str">
        <f t="shared" si="0"/>
        <v>一次性烟UD022B</v>
      </c>
      <c r="G15" s="274">
        <v>3.29</v>
      </c>
      <c r="H15" s="272">
        <f t="shared" si="1"/>
        <v>10870.16</v>
      </c>
      <c r="L15"/>
      <c r="M15" s="277"/>
      <c r="N15"/>
    </row>
    <row r="16" spans="1:14">
      <c r="A16" s="273">
        <v>44838</v>
      </c>
      <c r="B16" s="27" t="s">
        <v>37</v>
      </c>
      <c r="C16" s="273" t="s">
        <v>138</v>
      </c>
      <c r="D16" s="27" t="s">
        <v>143</v>
      </c>
      <c r="E16" s="27">
        <v>7070</v>
      </c>
      <c r="F16" s="45" t="str">
        <f t="shared" si="0"/>
        <v>一次性烟UD030A</v>
      </c>
      <c r="G16" s="274">
        <v>2.11172043010753</v>
      </c>
      <c r="H16" s="272">
        <f t="shared" si="1"/>
        <v>14929.8634408602</v>
      </c>
      <c r="L16"/>
      <c r="M16" s="277"/>
      <c r="N16"/>
    </row>
    <row r="17" spans="1:14">
      <c r="A17" s="273">
        <v>44838</v>
      </c>
      <c r="B17" s="27" t="s">
        <v>144</v>
      </c>
      <c r="C17" s="27" t="s">
        <v>131</v>
      </c>
      <c r="D17" s="27" t="s">
        <v>135</v>
      </c>
      <c r="E17" s="27">
        <v>11660</v>
      </c>
      <c r="F17" s="45" t="str">
        <f t="shared" si="0"/>
        <v>包装KD053</v>
      </c>
      <c r="G17" s="274">
        <v>0.41</v>
      </c>
      <c r="H17" s="272">
        <f t="shared" si="1"/>
        <v>4780.6</v>
      </c>
      <c r="L17"/>
      <c r="M17" s="277"/>
      <c r="N17"/>
    </row>
    <row r="18" spans="1:14">
      <c r="A18" s="273">
        <v>44838</v>
      </c>
      <c r="B18" s="27" t="s">
        <v>144</v>
      </c>
      <c r="C18" s="27" t="s">
        <v>138</v>
      </c>
      <c r="D18" s="27" t="s">
        <v>140</v>
      </c>
      <c r="E18" s="27">
        <v>41607</v>
      </c>
      <c r="F18" s="45" t="str">
        <f t="shared" si="0"/>
        <v>包装UD009A</v>
      </c>
      <c r="G18" s="274">
        <v>0.61</v>
      </c>
      <c r="H18" s="272">
        <f t="shared" si="1"/>
        <v>25380.27</v>
      </c>
      <c r="L18"/>
      <c r="M18" s="277"/>
      <c r="N18"/>
    </row>
    <row r="19" spans="1:8">
      <c r="A19" s="273">
        <v>44838</v>
      </c>
      <c r="B19" s="27" t="s">
        <v>144</v>
      </c>
      <c r="C19" s="27" t="s">
        <v>138</v>
      </c>
      <c r="D19" s="27" t="s">
        <v>145</v>
      </c>
      <c r="E19" s="27">
        <v>6960</v>
      </c>
      <c r="F19" s="45" t="str">
        <f t="shared" si="0"/>
        <v>包装UD009C</v>
      </c>
      <c r="G19" s="274">
        <v>0.41</v>
      </c>
      <c r="H19" s="272">
        <f t="shared" si="1"/>
        <v>2853.6</v>
      </c>
    </row>
    <row r="20" spans="1:8">
      <c r="A20" s="273">
        <v>44838</v>
      </c>
      <c r="B20" s="27" t="s">
        <v>144</v>
      </c>
      <c r="C20" s="273" t="s">
        <v>138</v>
      </c>
      <c r="D20" s="27" t="s">
        <v>142</v>
      </c>
      <c r="E20" s="27">
        <v>11000</v>
      </c>
      <c r="F20" s="45" t="str">
        <f t="shared" si="0"/>
        <v>包装UD022B</v>
      </c>
      <c r="G20" s="274">
        <v>0.41</v>
      </c>
      <c r="H20" s="272">
        <f t="shared" si="1"/>
        <v>4510</v>
      </c>
    </row>
    <row r="21" spans="1:8">
      <c r="A21" s="273">
        <v>44838</v>
      </c>
      <c r="B21" s="27" t="s">
        <v>144</v>
      </c>
      <c r="C21" s="273" t="s">
        <v>138</v>
      </c>
      <c r="D21" s="27" t="s">
        <v>77</v>
      </c>
      <c r="E21" s="27">
        <v>8800</v>
      </c>
      <c r="F21" s="45" t="str">
        <f t="shared" si="0"/>
        <v>包装UD023</v>
      </c>
      <c r="G21" s="274">
        <v>0.41</v>
      </c>
      <c r="H21" s="272">
        <f t="shared" si="1"/>
        <v>3608</v>
      </c>
    </row>
    <row r="22" spans="1:8">
      <c r="A22" s="273">
        <v>44838</v>
      </c>
      <c r="B22" s="27" t="s">
        <v>144</v>
      </c>
      <c r="C22" s="27" t="s">
        <v>138</v>
      </c>
      <c r="D22" s="27" t="s">
        <v>146</v>
      </c>
      <c r="E22" s="27">
        <v>1000</v>
      </c>
      <c r="F22" s="45" t="str">
        <f t="shared" si="0"/>
        <v>包装UD035</v>
      </c>
      <c r="G22" s="274">
        <v>0.41</v>
      </c>
      <c r="H22" s="272">
        <f t="shared" si="1"/>
        <v>410</v>
      </c>
    </row>
    <row r="23" spans="1:8">
      <c r="A23" s="273">
        <v>44839</v>
      </c>
      <c r="B23" s="27" t="s">
        <v>36</v>
      </c>
      <c r="C23" s="273" t="s">
        <v>126</v>
      </c>
      <c r="D23" s="27" t="s">
        <v>129</v>
      </c>
      <c r="E23" s="27">
        <v>6200</v>
      </c>
      <c r="F23" s="45" t="str">
        <f t="shared" si="0"/>
        <v>雾化芯C343A</v>
      </c>
      <c r="G23" s="274">
        <v>1.23440860215054</v>
      </c>
      <c r="H23" s="272">
        <f t="shared" si="1"/>
        <v>7653.33333333335</v>
      </c>
    </row>
    <row r="24" spans="1:8">
      <c r="A24" s="273">
        <v>44839</v>
      </c>
      <c r="B24" s="27" t="s">
        <v>36</v>
      </c>
      <c r="C24" s="273" t="s">
        <v>126</v>
      </c>
      <c r="D24" s="27" t="s">
        <v>127</v>
      </c>
      <c r="E24" s="27">
        <v>11000</v>
      </c>
      <c r="F24" s="45" t="str">
        <f t="shared" si="0"/>
        <v>雾化芯C328G</v>
      </c>
      <c r="G24" s="274">
        <v>1.05</v>
      </c>
      <c r="H24" s="272">
        <f t="shared" si="1"/>
        <v>11550</v>
      </c>
    </row>
    <row r="25" spans="1:8">
      <c r="A25" s="273">
        <v>44839</v>
      </c>
      <c r="B25" s="27" t="s">
        <v>36</v>
      </c>
      <c r="C25" s="273" t="s">
        <v>126</v>
      </c>
      <c r="D25" s="27" t="s">
        <v>128</v>
      </c>
      <c r="E25" s="27">
        <v>9900</v>
      </c>
      <c r="F25" s="45" t="str">
        <f t="shared" si="0"/>
        <v>雾化芯C331</v>
      </c>
      <c r="G25" s="274">
        <v>1.21326530612245</v>
      </c>
      <c r="H25" s="272">
        <f t="shared" si="1"/>
        <v>12011.3265306123</v>
      </c>
    </row>
    <row r="26" spans="1:8">
      <c r="A26" s="273">
        <v>44839</v>
      </c>
      <c r="B26" s="27" t="s">
        <v>36</v>
      </c>
      <c r="C26" s="273" t="s">
        <v>126</v>
      </c>
      <c r="D26" s="27" t="s">
        <v>130</v>
      </c>
      <c r="E26" s="27">
        <v>2200</v>
      </c>
      <c r="F26" s="45" t="str">
        <f t="shared" si="0"/>
        <v>雾化芯C347E</v>
      </c>
      <c r="G26" s="274">
        <v>1.30454545454545</v>
      </c>
      <c r="H26" s="272">
        <f t="shared" si="1"/>
        <v>2869.99999999999</v>
      </c>
    </row>
    <row r="27" spans="1:8">
      <c r="A27" s="273">
        <v>44839</v>
      </c>
      <c r="B27" s="27" t="s">
        <v>37</v>
      </c>
      <c r="C27" s="275" t="s">
        <v>131</v>
      </c>
      <c r="D27" s="27" t="s">
        <v>147</v>
      </c>
      <c r="E27" s="27">
        <v>302</v>
      </c>
      <c r="F27" s="45" t="str">
        <f t="shared" si="0"/>
        <v>一次性烟KD052</v>
      </c>
      <c r="G27" s="274">
        <f>32/700*41</f>
        <v>1.87428571428571</v>
      </c>
      <c r="H27" s="272">
        <f t="shared" si="1"/>
        <v>566.034285714286</v>
      </c>
    </row>
    <row r="28" spans="1:8">
      <c r="A28" s="273">
        <v>44839</v>
      </c>
      <c r="B28" s="27" t="s">
        <v>37</v>
      </c>
      <c r="C28" s="275" t="s">
        <v>131</v>
      </c>
      <c r="D28" s="27" t="s">
        <v>135</v>
      </c>
      <c r="E28" s="27">
        <v>14618</v>
      </c>
      <c r="F28" s="45" t="str">
        <f t="shared" si="0"/>
        <v>一次性烟KD053</v>
      </c>
      <c r="G28" s="274">
        <v>2.37</v>
      </c>
      <c r="H28" s="272">
        <f t="shared" si="1"/>
        <v>34644.66</v>
      </c>
    </row>
    <row r="29" spans="1:8">
      <c r="A29" s="273">
        <v>44839</v>
      </c>
      <c r="B29" s="27" t="s">
        <v>37</v>
      </c>
      <c r="C29" s="273" t="s">
        <v>131</v>
      </c>
      <c r="D29" s="27" t="s">
        <v>136</v>
      </c>
      <c r="E29" s="27">
        <v>6201</v>
      </c>
      <c r="F29" s="45" t="str">
        <f t="shared" si="0"/>
        <v>一次性烟KD054</v>
      </c>
      <c r="G29" s="274">
        <v>2.09</v>
      </c>
      <c r="H29" s="272">
        <f t="shared" si="1"/>
        <v>12960.09</v>
      </c>
    </row>
    <row r="30" spans="1:8">
      <c r="A30" s="273">
        <v>44839</v>
      </c>
      <c r="B30" s="27" t="s">
        <v>37</v>
      </c>
      <c r="C30" s="275" t="s">
        <v>131</v>
      </c>
      <c r="D30" s="27" t="s">
        <v>137</v>
      </c>
      <c r="E30" s="27">
        <v>28226</v>
      </c>
      <c r="F30" s="45" t="str">
        <f t="shared" si="0"/>
        <v>一次性烟UD005R</v>
      </c>
      <c r="G30" s="274">
        <v>1.84</v>
      </c>
      <c r="H30" s="272">
        <f t="shared" si="1"/>
        <v>51935.84</v>
      </c>
    </row>
    <row r="31" spans="1:8">
      <c r="A31" s="273">
        <v>44839</v>
      </c>
      <c r="B31" s="27" t="s">
        <v>37</v>
      </c>
      <c r="C31" s="273" t="s">
        <v>138</v>
      </c>
      <c r="D31" s="27" t="s">
        <v>140</v>
      </c>
      <c r="E31" s="27">
        <v>200</v>
      </c>
      <c r="F31" s="45" t="str">
        <f t="shared" si="0"/>
        <v>一次性烟UD009A</v>
      </c>
      <c r="G31" s="274">
        <v>0.63</v>
      </c>
      <c r="H31" s="272">
        <f t="shared" si="1"/>
        <v>126</v>
      </c>
    </row>
    <row r="32" spans="1:8">
      <c r="A32" s="273">
        <v>44839</v>
      </c>
      <c r="B32" s="27" t="s">
        <v>37</v>
      </c>
      <c r="C32" s="273" t="s">
        <v>138</v>
      </c>
      <c r="D32" s="27" t="s">
        <v>141</v>
      </c>
      <c r="E32" s="27">
        <v>27765</v>
      </c>
      <c r="F32" s="45" t="str">
        <f t="shared" si="0"/>
        <v>一次性烟UD015A</v>
      </c>
      <c r="G32" s="274">
        <v>2.51857142857143</v>
      </c>
      <c r="H32" s="272">
        <f t="shared" si="1"/>
        <v>69928.1357142858</v>
      </c>
    </row>
    <row r="33" spans="1:8">
      <c r="A33" s="273">
        <v>44839</v>
      </c>
      <c r="B33" s="27" t="s">
        <v>37</v>
      </c>
      <c r="C33" s="273" t="s">
        <v>138</v>
      </c>
      <c r="D33" s="27" t="s">
        <v>142</v>
      </c>
      <c r="E33" s="27">
        <v>8840</v>
      </c>
      <c r="F33" s="45" t="str">
        <f t="shared" si="0"/>
        <v>一次性烟UD022B</v>
      </c>
      <c r="G33" s="274">
        <v>3.29</v>
      </c>
      <c r="H33" s="272">
        <f t="shared" si="1"/>
        <v>29083.6</v>
      </c>
    </row>
    <row r="34" spans="1:8">
      <c r="A34" s="273">
        <v>44839</v>
      </c>
      <c r="B34" s="27" t="s">
        <v>37</v>
      </c>
      <c r="C34" s="273" t="s">
        <v>138</v>
      </c>
      <c r="D34" s="27" t="s">
        <v>77</v>
      </c>
      <c r="E34" s="27">
        <v>4760</v>
      </c>
      <c r="F34" s="45" t="str">
        <f t="shared" si="0"/>
        <v>一次性烟UD023</v>
      </c>
      <c r="G34" s="274">
        <v>3.29</v>
      </c>
      <c r="H34" s="272">
        <f t="shared" si="1"/>
        <v>15660.4</v>
      </c>
    </row>
    <row r="35" spans="1:8">
      <c r="A35" s="273">
        <v>44839</v>
      </c>
      <c r="B35" s="27" t="s">
        <v>37</v>
      </c>
      <c r="C35" s="273" t="s">
        <v>138</v>
      </c>
      <c r="D35" s="27" t="s">
        <v>148</v>
      </c>
      <c r="E35" s="27">
        <v>350</v>
      </c>
      <c r="F35" s="45" t="str">
        <f t="shared" si="0"/>
        <v>一次性烟UD026</v>
      </c>
      <c r="G35" s="274">
        <v>2.38</v>
      </c>
      <c r="H35" s="272">
        <f t="shared" si="1"/>
        <v>833</v>
      </c>
    </row>
    <row r="36" spans="1:8">
      <c r="A36" s="273">
        <v>44839</v>
      </c>
      <c r="B36" s="27" t="s">
        <v>37</v>
      </c>
      <c r="C36" s="273" t="s">
        <v>138</v>
      </c>
      <c r="D36" s="27" t="s">
        <v>143</v>
      </c>
      <c r="E36" s="27">
        <v>7565</v>
      </c>
      <c r="F36" s="45" t="str">
        <f t="shared" si="0"/>
        <v>一次性烟UD030A</v>
      </c>
      <c r="G36" s="274">
        <v>2.11172043010753</v>
      </c>
      <c r="H36" s="272">
        <f t="shared" si="1"/>
        <v>15975.1650537635</v>
      </c>
    </row>
    <row r="37" spans="1:8">
      <c r="A37" s="273">
        <v>44839</v>
      </c>
      <c r="B37" s="27" t="s">
        <v>37</v>
      </c>
      <c r="C37" s="273" t="s">
        <v>138</v>
      </c>
      <c r="D37" s="27" t="s">
        <v>149</v>
      </c>
      <c r="E37" s="27">
        <v>3000</v>
      </c>
      <c r="F37" s="45" t="str">
        <f t="shared" si="0"/>
        <v>一次性烟UD030B</v>
      </c>
      <c r="G37" s="274">
        <v>2.11172043010753</v>
      </c>
      <c r="H37" s="272">
        <f t="shared" si="1"/>
        <v>6335.16129032259</v>
      </c>
    </row>
    <row r="38" spans="1:8">
      <c r="A38" s="273">
        <v>44839</v>
      </c>
      <c r="B38" s="27" t="s">
        <v>37</v>
      </c>
      <c r="C38" s="273" t="s">
        <v>138</v>
      </c>
      <c r="D38" s="27" t="s">
        <v>146</v>
      </c>
      <c r="E38" s="27">
        <v>4440</v>
      </c>
      <c r="F38" s="45" t="str">
        <f t="shared" si="0"/>
        <v>一次性烟UD035</v>
      </c>
      <c r="G38" s="274">
        <v>2.77352941176471</v>
      </c>
      <c r="H38" s="272">
        <f t="shared" si="1"/>
        <v>12314.4705882353</v>
      </c>
    </row>
    <row r="39" spans="1:8">
      <c r="A39" s="273">
        <v>44839</v>
      </c>
      <c r="B39" s="27" t="s">
        <v>144</v>
      </c>
      <c r="C39" s="273" t="s">
        <v>131</v>
      </c>
      <c r="D39" s="27" t="s">
        <v>134</v>
      </c>
      <c r="E39" s="27">
        <v>12730</v>
      </c>
      <c r="F39" s="45" t="str">
        <f t="shared" si="0"/>
        <v>包装KD050</v>
      </c>
      <c r="G39" s="274">
        <v>0.41</v>
      </c>
      <c r="H39" s="272">
        <f t="shared" si="1"/>
        <v>5219.3</v>
      </c>
    </row>
    <row r="40" spans="1:8">
      <c r="A40" s="273">
        <v>44839</v>
      </c>
      <c r="B40" s="27" t="s">
        <v>144</v>
      </c>
      <c r="C40" s="27" t="s">
        <v>131</v>
      </c>
      <c r="D40" s="27" t="s">
        <v>135</v>
      </c>
      <c r="E40" s="27">
        <v>3700</v>
      </c>
      <c r="F40" s="45" t="str">
        <f t="shared" si="0"/>
        <v>包装KD053</v>
      </c>
      <c r="G40" s="274">
        <v>0.41</v>
      </c>
      <c r="H40" s="272">
        <f t="shared" si="1"/>
        <v>1517</v>
      </c>
    </row>
    <row r="41" spans="1:8">
      <c r="A41" s="273">
        <v>44839</v>
      </c>
      <c r="B41" s="27" t="s">
        <v>144</v>
      </c>
      <c r="C41" s="27" t="s">
        <v>138</v>
      </c>
      <c r="D41" s="27" t="s">
        <v>81</v>
      </c>
      <c r="E41" s="27">
        <v>11252</v>
      </c>
      <c r="F41" s="45" t="str">
        <f t="shared" si="0"/>
        <v>包装UD015</v>
      </c>
      <c r="G41" s="274">
        <v>0.41</v>
      </c>
      <c r="H41" s="272">
        <f t="shared" si="1"/>
        <v>4613.32</v>
      </c>
    </row>
    <row r="42" spans="1:8">
      <c r="A42" s="273">
        <v>44839</v>
      </c>
      <c r="B42" s="27" t="s">
        <v>144</v>
      </c>
      <c r="C42" s="273" t="s">
        <v>138</v>
      </c>
      <c r="D42" s="27" t="s">
        <v>71</v>
      </c>
      <c r="E42" s="27">
        <v>1600</v>
      </c>
      <c r="F42" s="45" t="str">
        <f t="shared" si="0"/>
        <v>包装UD022</v>
      </c>
      <c r="G42" s="274">
        <f>G41</f>
        <v>0.41</v>
      </c>
      <c r="H42" s="272">
        <f t="shared" si="1"/>
        <v>656</v>
      </c>
    </row>
    <row r="43" spans="1:8">
      <c r="A43" s="273">
        <v>44839</v>
      </c>
      <c r="B43" s="27" t="s">
        <v>144</v>
      </c>
      <c r="C43" s="273" t="s">
        <v>138</v>
      </c>
      <c r="D43" s="27" t="s">
        <v>77</v>
      </c>
      <c r="E43" s="27">
        <v>4900</v>
      </c>
      <c r="F43" s="45" t="str">
        <f t="shared" si="0"/>
        <v>包装UD023</v>
      </c>
      <c r="G43" s="274">
        <v>0.41</v>
      </c>
      <c r="H43" s="272">
        <f t="shared" si="1"/>
        <v>2009</v>
      </c>
    </row>
    <row r="44" spans="1:8">
      <c r="A44" s="273">
        <v>44839</v>
      </c>
      <c r="B44" s="27" t="s">
        <v>144</v>
      </c>
      <c r="C44" s="27" t="s">
        <v>138</v>
      </c>
      <c r="D44" s="27" t="s">
        <v>148</v>
      </c>
      <c r="E44" s="27">
        <v>4800</v>
      </c>
      <c r="F44" s="45" t="str">
        <f t="shared" si="0"/>
        <v>包装UD026</v>
      </c>
      <c r="G44" s="274">
        <v>0.41</v>
      </c>
      <c r="H44" s="272">
        <f t="shared" si="1"/>
        <v>1968</v>
      </c>
    </row>
    <row r="45" spans="1:8">
      <c r="A45" s="273">
        <v>44840</v>
      </c>
      <c r="B45" s="27" t="s">
        <v>36</v>
      </c>
      <c r="C45" s="273" t="s">
        <v>126</v>
      </c>
      <c r="D45" s="27" t="s">
        <v>128</v>
      </c>
      <c r="E45" s="27">
        <v>10300</v>
      </c>
      <c r="F45" s="45" t="str">
        <f t="shared" si="0"/>
        <v>雾化芯C331</v>
      </c>
      <c r="G45" s="274">
        <v>1.21326530612245</v>
      </c>
      <c r="H45" s="272">
        <f t="shared" si="1"/>
        <v>12496.6326530612</v>
      </c>
    </row>
    <row r="46" spans="1:8">
      <c r="A46" s="273">
        <v>44840</v>
      </c>
      <c r="B46" s="27" t="s">
        <v>36</v>
      </c>
      <c r="C46" s="273" t="s">
        <v>126</v>
      </c>
      <c r="D46" s="27" t="s">
        <v>130</v>
      </c>
      <c r="E46" s="27">
        <v>2450</v>
      </c>
      <c r="F46" s="45" t="str">
        <f t="shared" si="0"/>
        <v>雾化芯C347E</v>
      </c>
      <c r="G46" s="274">
        <v>1.30454545454545</v>
      </c>
      <c r="H46" s="272">
        <f t="shared" si="1"/>
        <v>3196.13636363635</v>
      </c>
    </row>
    <row r="47" spans="1:8">
      <c r="A47" s="273">
        <v>44840</v>
      </c>
      <c r="B47" s="27" t="s">
        <v>37</v>
      </c>
      <c r="C47" s="273" t="s">
        <v>138</v>
      </c>
      <c r="D47" s="27" t="s">
        <v>134</v>
      </c>
      <c r="E47" s="27">
        <v>2850</v>
      </c>
      <c r="F47" s="45" t="str">
        <f t="shared" si="0"/>
        <v>一次性烟KD050</v>
      </c>
      <c r="G47" s="274">
        <v>2.99</v>
      </c>
      <c r="H47" s="272">
        <f t="shared" si="1"/>
        <v>8521.5</v>
      </c>
    </row>
    <row r="48" spans="1:8">
      <c r="A48" s="273">
        <v>44840</v>
      </c>
      <c r="B48" s="27" t="s">
        <v>37</v>
      </c>
      <c r="C48" s="273" t="s">
        <v>138</v>
      </c>
      <c r="D48" s="27" t="s">
        <v>147</v>
      </c>
      <c r="E48" s="27">
        <v>1400</v>
      </c>
      <c r="F48" s="45" t="str">
        <f t="shared" si="0"/>
        <v>一次性烟KD052</v>
      </c>
      <c r="G48" s="274">
        <v>1.87428571428571</v>
      </c>
      <c r="H48" s="272">
        <f t="shared" si="1"/>
        <v>2623.99999999999</v>
      </c>
    </row>
    <row r="49" spans="1:8">
      <c r="A49" s="273">
        <v>44840</v>
      </c>
      <c r="B49" s="27" t="s">
        <v>37</v>
      </c>
      <c r="C49" s="273" t="s">
        <v>138</v>
      </c>
      <c r="D49" s="27" t="s">
        <v>135</v>
      </c>
      <c r="E49" s="27">
        <v>19163</v>
      </c>
      <c r="F49" s="45" t="str">
        <f t="shared" si="0"/>
        <v>一次性烟KD053</v>
      </c>
      <c r="G49" s="274">
        <v>2.37</v>
      </c>
      <c r="H49" s="272">
        <f t="shared" si="1"/>
        <v>45416.31</v>
      </c>
    </row>
    <row r="50" spans="1:8">
      <c r="A50" s="273">
        <v>44840</v>
      </c>
      <c r="B50" s="27" t="s">
        <v>37</v>
      </c>
      <c r="C50" s="273" t="s">
        <v>138</v>
      </c>
      <c r="D50" s="27" t="s">
        <v>136</v>
      </c>
      <c r="E50" s="27">
        <v>7450</v>
      </c>
      <c r="F50" s="45" t="str">
        <f t="shared" si="0"/>
        <v>一次性烟KD054</v>
      </c>
      <c r="G50" s="274">
        <v>2.09</v>
      </c>
      <c r="H50" s="272">
        <f t="shared" si="1"/>
        <v>15570.5</v>
      </c>
    </row>
    <row r="51" spans="1:8">
      <c r="A51" s="273">
        <v>44840</v>
      </c>
      <c r="B51" s="27" t="s">
        <v>37</v>
      </c>
      <c r="C51" s="273" t="s">
        <v>138</v>
      </c>
      <c r="D51" s="27" t="s">
        <v>137</v>
      </c>
      <c r="E51" s="27">
        <v>9960</v>
      </c>
      <c r="F51" s="45" t="str">
        <f t="shared" si="0"/>
        <v>一次性烟UD005R</v>
      </c>
      <c r="G51" s="274">
        <v>1.84</v>
      </c>
      <c r="H51" s="272">
        <f t="shared" si="1"/>
        <v>18326.4</v>
      </c>
    </row>
    <row r="52" spans="1:8">
      <c r="A52" s="273">
        <v>44840</v>
      </c>
      <c r="B52" s="27" t="s">
        <v>37</v>
      </c>
      <c r="C52" s="273" t="s">
        <v>138</v>
      </c>
      <c r="D52" s="27" t="s">
        <v>140</v>
      </c>
      <c r="E52" s="27">
        <v>1450</v>
      </c>
      <c r="F52" s="45" t="str">
        <f t="shared" si="0"/>
        <v>一次性烟UD009A</v>
      </c>
      <c r="G52" s="274">
        <v>0.63</v>
      </c>
      <c r="H52" s="272">
        <f t="shared" si="1"/>
        <v>913.5</v>
      </c>
    </row>
    <row r="53" spans="1:8">
      <c r="A53" s="273">
        <v>44840</v>
      </c>
      <c r="B53" s="27" t="s">
        <v>37</v>
      </c>
      <c r="C53" s="273" t="s">
        <v>138</v>
      </c>
      <c r="D53" s="27" t="s">
        <v>145</v>
      </c>
      <c r="E53" s="27">
        <v>100</v>
      </c>
      <c r="F53" s="45" t="str">
        <f t="shared" si="0"/>
        <v>一次性烟UD009C</v>
      </c>
      <c r="G53" s="274">
        <v>2.79</v>
      </c>
      <c r="H53" s="272">
        <f t="shared" si="1"/>
        <v>279</v>
      </c>
    </row>
    <row r="54" spans="1:8">
      <c r="A54" s="273">
        <v>44840</v>
      </c>
      <c r="B54" s="27" t="s">
        <v>37</v>
      </c>
      <c r="C54" s="273" t="s">
        <v>138</v>
      </c>
      <c r="D54" s="27" t="s">
        <v>141</v>
      </c>
      <c r="E54" s="27">
        <v>32197</v>
      </c>
      <c r="F54" s="45" t="str">
        <f t="shared" si="0"/>
        <v>一次性烟UD015A</v>
      </c>
      <c r="G54" s="274">
        <v>2.51857142857143</v>
      </c>
      <c r="H54" s="272">
        <f t="shared" si="1"/>
        <v>81090.4442857143</v>
      </c>
    </row>
    <row r="55" spans="1:8">
      <c r="A55" s="273">
        <v>44840</v>
      </c>
      <c r="B55" s="27" t="s">
        <v>37</v>
      </c>
      <c r="C55" s="273" t="s">
        <v>138</v>
      </c>
      <c r="D55" s="27" t="s">
        <v>142</v>
      </c>
      <c r="E55" s="27">
        <v>13512</v>
      </c>
      <c r="F55" s="45" t="str">
        <f t="shared" si="0"/>
        <v>一次性烟UD022B</v>
      </c>
      <c r="G55" s="274">
        <v>3.29</v>
      </c>
      <c r="H55" s="272">
        <f t="shared" si="1"/>
        <v>44454.48</v>
      </c>
    </row>
    <row r="56" spans="1:8">
      <c r="A56" s="273">
        <v>44840</v>
      </c>
      <c r="B56" s="27" t="s">
        <v>37</v>
      </c>
      <c r="C56" s="273" t="s">
        <v>138</v>
      </c>
      <c r="D56" s="27" t="s">
        <v>77</v>
      </c>
      <c r="E56" s="27">
        <v>4644</v>
      </c>
      <c r="F56" s="45" t="str">
        <f t="shared" si="0"/>
        <v>一次性烟UD023</v>
      </c>
      <c r="G56" s="274">
        <v>3.29</v>
      </c>
      <c r="H56" s="272">
        <f t="shared" si="1"/>
        <v>15278.76</v>
      </c>
    </row>
    <row r="57" spans="1:8">
      <c r="A57" s="273">
        <v>44840</v>
      </c>
      <c r="B57" s="27" t="s">
        <v>37</v>
      </c>
      <c r="C57" s="273" t="s">
        <v>138</v>
      </c>
      <c r="D57" s="27" t="s">
        <v>143</v>
      </c>
      <c r="E57" s="27">
        <v>9270</v>
      </c>
      <c r="F57" s="45" t="str">
        <f t="shared" si="0"/>
        <v>一次性烟UD030A</v>
      </c>
      <c r="G57" s="274">
        <v>2.11172043010753</v>
      </c>
      <c r="H57" s="272">
        <f t="shared" si="1"/>
        <v>19575.6483870968</v>
      </c>
    </row>
    <row r="58" spans="1:8">
      <c r="A58" s="273">
        <v>44840</v>
      </c>
      <c r="B58" s="27" t="s">
        <v>37</v>
      </c>
      <c r="C58" s="273" t="s">
        <v>138</v>
      </c>
      <c r="D58" s="27" t="s">
        <v>149</v>
      </c>
      <c r="E58" s="27">
        <v>4350</v>
      </c>
      <c r="F58" s="45" t="str">
        <f t="shared" si="0"/>
        <v>一次性烟UD030B</v>
      </c>
      <c r="G58" s="274">
        <v>2.11172043010753</v>
      </c>
      <c r="H58" s="272">
        <f t="shared" si="1"/>
        <v>9185.98387096776</v>
      </c>
    </row>
    <row r="59" spans="1:8">
      <c r="A59" s="273">
        <v>44840</v>
      </c>
      <c r="B59" s="27" t="s">
        <v>37</v>
      </c>
      <c r="C59" s="273" t="s">
        <v>138</v>
      </c>
      <c r="D59" s="27" t="s">
        <v>146</v>
      </c>
      <c r="E59" s="27">
        <v>5060</v>
      </c>
      <c r="F59" s="45" t="str">
        <f t="shared" si="0"/>
        <v>一次性烟UD035</v>
      </c>
      <c r="G59" s="274">
        <v>2.77352941176471</v>
      </c>
      <c r="H59" s="272">
        <f t="shared" si="1"/>
        <v>14034.0588235294</v>
      </c>
    </row>
    <row r="60" spans="1:8">
      <c r="A60" s="273">
        <v>44840</v>
      </c>
      <c r="B60" s="27" t="s">
        <v>144</v>
      </c>
      <c r="C60" s="273" t="s">
        <v>131</v>
      </c>
      <c r="D60" s="27" t="s">
        <v>134</v>
      </c>
      <c r="E60" s="27">
        <v>3720</v>
      </c>
      <c r="F60" s="45" t="str">
        <f t="shared" si="0"/>
        <v>包装KD050</v>
      </c>
      <c r="G60" s="274">
        <v>0.41</v>
      </c>
      <c r="H60" s="272">
        <f t="shared" si="1"/>
        <v>1525.2</v>
      </c>
    </row>
    <row r="61" spans="1:8">
      <c r="A61" s="273">
        <v>44840</v>
      </c>
      <c r="B61" s="27" t="s">
        <v>144</v>
      </c>
      <c r="C61" s="273" t="s">
        <v>138</v>
      </c>
      <c r="D61" s="27" t="s">
        <v>150</v>
      </c>
      <c r="E61" s="27">
        <v>3000</v>
      </c>
      <c r="F61" s="45" t="str">
        <f t="shared" si="0"/>
        <v>包装UD012</v>
      </c>
      <c r="G61" s="274">
        <v>0.41</v>
      </c>
      <c r="H61" s="272">
        <f t="shared" si="1"/>
        <v>1230</v>
      </c>
    </row>
    <row r="62" spans="1:8">
      <c r="A62" s="273">
        <v>44840</v>
      </c>
      <c r="B62" s="27" t="s">
        <v>144</v>
      </c>
      <c r="C62" s="27" t="s">
        <v>138</v>
      </c>
      <c r="D62" s="27" t="s">
        <v>81</v>
      </c>
      <c r="E62" s="27">
        <v>31500</v>
      </c>
      <c r="F62" s="45" t="str">
        <f t="shared" si="0"/>
        <v>包装UD015</v>
      </c>
      <c r="G62" s="274">
        <v>0.41</v>
      </c>
      <c r="H62" s="272">
        <f t="shared" si="1"/>
        <v>12915</v>
      </c>
    </row>
    <row r="63" spans="1:8">
      <c r="A63" s="273">
        <v>44840</v>
      </c>
      <c r="B63" s="27" t="s">
        <v>144</v>
      </c>
      <c r="C63" s="27" t="s">
        <v>138</v>
      </c>
      <c r="D63" s="27" t="s">
        <v>141</v>
      </c>
      <c r="E63" s="27">
        <v>60000</v>
      </c>
      <c r="F63" s="45" t="str">
        <f t="shared" si="0"/>
        <v>包装UD015A</v>
      </c>
      <c r="G63" s="274">
        <v>0.41</v>
      </c>
      <c r="H63" s="272">
        <f t="shared" si="1"/>
        <v>24600</v>
      </c>
    </row>
    <row r="64" spans="1:8">
      <c r="A64" s="273">
        <v>44840</v>
      </c>
      <c r="B64" s="27" t="s">
        <v>144</v>
      </c>
      <c r="C64" s="273" t="s">
        <v>138</v>
      </c>
      <c r="D64" s="27" t="s">
        <v>71</v>
      </c>
      <c r="E64" s="27">
        <v>1200</v>
      </c>
      <c r="F64" s="45" t="str">
        <f t="shared" si="0"/>
        <v>包装UD022</v>
      </c>
      <c r="G64" s="274">
        <f>G63</f>
        <v>0.41</v>
      </c>
      <c r="H64" s="272">
        <f t="shared" si="1"/>
        <v>492</v>
      </c>
    </row>
    <row r="65" spans="1:8">
      <c r="A65" s="273">
        <v>44840</v>
      </c>
      <c r="B65" s="27" t="s">
        <v>144</v>
      </c>
      <c r="C65" s="273" t="s">
        <v>138</v>
      </c>
      <c r="D65" s="27" t="s">
        <v>77</v>
      </c>
      <c r="E65" s="27">
        <v>2600</v>
      </c>
      <c r="F65" s="45" t="str">
        <f t="shared" si="0"/>
        <v>包装UD023</v>
      </c>
      <c r="G65" s="274">
        <v>0.41</v>
      </c>
      <c r="H65" s="272">
        <f t="shared" si="1"/>
        <v>1066</v>
      </c>
    </row>
    <row r="66" spans="1:8">
      <c r="A66" s="273">
        <v>44840</v>
      </c>
      <c r="B66" s="27" t="s">
        <v>144</v>
      </c>
      <c r="C66" s="27" t="s">
        <v>138</v>
      </c>
      <c r="D66" s="27" t="s">
        <v>146</v>
      </c>
      <c r="E66" s="27">
        <v>2800</v>
      </c>
      <c r="F66" s="45" t="str">
        <f t="shared" ref="F66:F93" si="2">B66&amp;D66</f>
        <v>包装UD035</v>
      </c>
      <c r="G66" s="274">
        <v>0.41</v>
      </c>
      <c r="H66" s="272">
        <f t="shared" ref="H66:H93" si="3">G66*E66</f>
        <v>1148</v>
      </c>
    </row>
    <row r="67" spans="1:8">
      <c r="A67" s="273">
        <v>44841</v>
      </c>
      <c r="B67" s="27" t="s">
        <v>36</v>
      </c>
      <c r="C67" s="273" t="s">
        <v>126</v>
      </c>
      <c r="D67" s="27" t="s">
        <v>127</v>
      </c>
      <c r="E67" s="27">
        <v>9700</v>
      </c>
      <c r="F67" s="45" t="str">
        <f t="shared" si="2"/>
        <v>雾化芯C328G</v>
      </c>
      <c r="G67" s="274">
        <f>G2</f>
        <v>1.05428571428571</v>
      </c>
      <c r="H67" s="272">
        <f t="shared" si="3"/>
        <v>10226.5714285714</v>
      </c>
    </row>
    <row r="68" spans="1:8">
      <c r="A68" s="273">
        <v>44841</v>
      </c>
      <c r="B68" s="27" t="s">
        <v>36</v>
      </c>
      <c r="C68" s="273" t="s">
        <v>126</v>
      </c>
      <c r="D68" s="27" t="s">
        <v>151</v>
      </c>
      <c r="E68" s="27">
        <v>1200</v>
      </c>
      <c r="F68" s="45" t="str">
        <f t="shared" si="2"/>
        <v>雾化芯C322</v>
      </c>
      <c r="G68" s="274">
        <v>1.05</v>
      </c>
      <c r="H68" s="272">
        <f t="shared" si="3"/>
        <v>1260</v>
      </c>
    </row>
    <row r="69" spans="1:8">
      <c r="A69" s="273">
        <v>44841</v>
      </c>
      <c r="B69" s="27" t="s">
        <v>37</v>
      </c>
      <c r="C69" s="27" t="s">
        <v>131</v>
      </c>
      <c r="D69" s="27" t="s">
        <v>147</v>
      </c>
      <c r="E69" s="27">
        <v>1120</v>
      </c>
      <c r="F69" s="45" t="str">
        <f t="shared" si="2"/>
        <v>一次性烟KD052</v>
      </c>
      <c r="G69" s="274">
        <f>32/700*41</f>
        <v>1.87428571428571</v>
      </c>
      <c r="H69" s="272">
        <f t="shared" si="3"/>
        <v>2099.2</v>
      </c>
    </row>
    <row r="70" spans="1:8">
      <c r="A70" s="273">
        <v>44841</v>
      </c>
      <c r="B70" s="27" t="s">
        <v>37</v>
      </c>
      <c r="C70" s="27" t="s">
        <v>131</v>
      </c>
      <c r="D70" s="27" t="s">
        <v>135</v>
      </c>
      <c r="E70" s="27">
        <v>19026</v>
      </c>
      <c r="F70" s="45" t="str">
        <f t="shared" si="2"/>
        <v>一次性烟KD053</v>
      </c>
      <c r="G70" s="274">
        <v>2.37</v>
      </c>
      <c r="H70" s="272">
        <f t="shared" si="3"/>
        <v>45091.62</v>
      </c>
    </row>
    <row r="71" spans="1:8">
      <c r="A71" s="273">
        <v>44841</v>
      </c>
      <c r="B71" s="27" t="s">
        <v>37</v>
      </c>
      <c r="C71" s="27" t="s">
        <v>131</v>
      </c>
      <c r="D71" s="27" t="s">
        <v>136</v>
      </c>
      <c r="E71" s="27">
        <v>8210</v>
      </c>
      <c r="F71" s="45" t="str">
        <f t="shared" si="2"/>
        <v>一次性烟KD054</v>
      </c>
      <c r="G71" s="274">
        <v>2.09</v>
      </c>
      <c r="H71" s="272">
        <f t="shared" si="3"/>
        <v>17158.9</v>
      </c>
    </row>
    <row r="72" spans="1:8">
      <c r="A72" s="273">
        <v>44841</v>
      </c>
      <c r="B72" s="27" t="s">
        <v>37</v>
      </c>
      <c r="C72" s="27" t="s">
        <v>138</v>
      </c>
      <c r="D72" s="27" t="s">
        <v>140</v>
      </c>
      <c r="E72" s="27">
        <v>850</v>
      </c>
      <c r="F72" s="45" t="str">
        <f t="shared" si="2"/>
        <v>一次性烟UD009A</v>
      </c>
      <c r="G72" s="274">
        <v>0.63</v>
      </c>
      <c r="H72" s="272">
        <f t="shared" si="3"/>
        <v>535.5</v>
      </c>
    </row>
    <row r="73" spans="1:8">
      <c r="A73" s="273">
        <v>44841</v>
      </c>
      <c r="B73" s="27" t="s">
        <v>37</v>
      </c>
      <c r="C73" s="27" t="s">
        <v>131</v>
      </c>
      <c r="D73" s="27" t="s">
        <v>95</v>
      </c>
      <c r="E73" s="27">
        <v>400</v>
      </c>
      <c r="F73" s="45" t="str">
        <f t="shared" si="2"/>
        <v>一次性烟UD007R</v>
      </c>
      <c r="G73" s="274">
        <v>2.09</v>
      </c>
      <c r="H73" s="272">
        <f t="shared" si="3"/>
        <v>836</v>
      </c>
    </row>
    <row r="74" spans="1:8">
      <c r="A74" s="273">
        <v>44841</v>
      </c>
      <c r="B74" s="27" t="s">
        <v>37</v>
      </c>
      <c r="C74" s="27" t="s">
        <v>138</v>
      </c>
      <c r="D74" s="27" t="s">
        <v>141</v>
      </c>
      <c r="E74" s="27">
        <v>32940</v>
      </c>
      <c r="F74" s="45" t="str">
        <f t="shared" si="2"/>
        <v>一次性烟UD015A</v>
      </c>
      <c r="G74" s="274">
        <v>2.51857142857143</v>
      </c>
      <c r="H74" s="272">
        <f t="shared" si="3"/>
        <v>82961.7428571429</v>
      </c>
    </row>
    <row r="75" spans="1:8">
      <c r="A75" s="273">
        <v>44841</v>
      </c>
      <c r="B75" s="27" t="s">
        <v>37</v>
      </c>
      <c r="C75" s="27" t="s">
        <v>138</v>
      </c>
      <c r="D75" s="27" t="s">
        <v>142</v>
      </c>
      <c r="E75" s="27">
        <v>13226</v>
      </c>
      <c r="F75" s="45" t="str">
        <f t="shared" si="2"/>
        <v>一次性烟UD022B</v>
      </c>
      <c r="G75" s="274">
        <v>3.29</v>
      </c>
      <c r="H75" s="272">
        <f t="shared" si="3"/>
        <v>43513.54</v>
      </c>
    </row>
    <row r="76" spans="1:8">
      <c r="A76" s="273">
        <v>44841</v>
      </c>
      <c r="B76" s="27" t="s">
        <v>37</v>
      </c>
      <c r="C76" s="27" t="s">
        <v>138</v>
      </c>
      <c r="D76" s="27" t="s">
        <v>77</v>
      </c>
      <c r="E76" s="27">
        <v>6120</v>
      </c>
      <c r="F76" s="45" t="str">
        <f t="shared" si="2"/>
        <v>一次性烟UD023</v>
      </c>
      <c r="G76" s="274">
        <v>3.29</v>
      </c>
      <c r="H76" s="272">
        <f t="shared" si="3"/>
        <v>20134.8</v>
      </c>
    </row>
    <row r="77" spans="1:8">
      <c r="A77" s="273">
        <v>44841</v>
      </c>
      <c r="B77" s="27" t="s">
        <v>37</v>
      </c>
      <c r="C77" s="27" t="s">
        <v>138</v>
      </c>
      <c r="D77" s="27" t="s">
        <v>148</v>
      </c>
      <c r="E77" s="27">
        <v>5650</v>
      </c>
      <c r="F77" s="45" t="str">
        <f t="shared" si="2"/>
        <v>一次性烟UD026</v>
      </c>
      <c r="G77" s="274">
        <v>2.38</v>
      </c>
      <c r="H77" s="272">
        <f t="shared" si="3"/>
        <v>13447</v>
      </c>
    </row>
    <row r="78" spans="1:8">
      <c r="A78" s="273">
        <v>44841</v>
      </c>
      <c r="B78" s="27" t="s">
        <v>37</v>
      </c>
      <c r="C78" s="27" t="s">
        <v>138</v>
      </c>
      <c r="D78" s="27" t="s">
        <v>143</v>
      </c>
      <c r="E78" s="27">
        <v>12000</v>
      </c>
      <c r="F78" s="45" t="str">
        <f t="shared" si="2"/>
        <v>一次性烟UD030A</v>
      </c>
      <c r="G78" s="274">
        <v>2.11172043010753</v>
      </c>
      <c r="H78" s="272">
        <f t="shared" si="3"/>
        <v>25340.6451612904</v>
      </c>
    </row>
    <row r="79" spans="1:8">
      <c r="A79" s="273">
        <v>44841</v>
      </c>
      <c r="B79" s="27" t="s">
        <v>37</v>
      </c>
      <c r="C79" s="27" t="s">
        <v>138</v>
      </c>
      <c r="D79" s="27" t="s">
        <v>149</v>
      </c>
      <c r="E79" s="27">
        <v>5450</v>
      </c>
      <c r="F79" s="45" t="str">
        <f t="shared" si="2"/>
        <v>一次性烟UD030B</v>
      </c>
      <c r="G79" s="274">
        <v>2.11172043010753</v>
      </c>
      <c r="H79" s="272">
        <f t="shared" si="3"/>
        <v>11508.876344086</v>
      </c>
    </row>
    <row r="80" spans="1:8">
      <c r="A80" s="273">
        <v>44841</v>
      </c>
      <c r="B80" s="27" t="s">
        <v>37</v>
      </c>
      <c r="C80" s="27" t="s">
        <v>138</v>
      </c>
      <c r="D80" s="27" t="s">
        <v>146</v>
      </c>
      <c r="E80" s="27">
        <v>6494</v>
      </c>
      <c r="F80" s="45" t="str">
        <f t="shared" si="2"/>
        <v>一次性烟UD035</v>
      </c>
      <c r="G80" s="274">
        <v>2.77352941176471</v>
      </c>
      <c r="H80" s="272">
        <f t="shared" si="3"/>
        <v>18011.3</v>
      </c>
    </row>
    <row r="81" spans="1:8">
      <c r="A81" s="273">
        <v>44841</v>
      </c>
      <c r="B81" s="27" t="s">
        <v>144</v>
      </c>
      <c r="C81" s="27" t="s">
        <v>131</v>
      </c>
      <c r="D81" s="27" t="s">
        <v>132</v>
      </c>
      <c r="E81" s="27">
        <v>6000</v>
      </c>
      <c r="F81" s="45" t="str">
        <f t="shared" si="2"/>
        <v>包装KD046</v>
      </c>
      <c r="G81" s="274">
        <v>0.41</v>
      </c>
      <c r="H81" s="272">
        <f t="shared" si="3"/>
        <v>2460</v>
      </c>
    </row>
    <row r="82" spans="1:8">
      <c r="A82" s="273">
        <v>44841</v>
      </c>
      <c r="B82" s="27" t="s">
        <v>144</v>
      </c>
      <c r="C82" s="27" t="s">
        <v>131</v>
      </c>
      <c r="D82" s="27" t="s">
        <v>152</v>
      </c>
      <c r="E82" s="27">
        <v>1020</v>
      </c>
      <c r="F82" s="45" t="str">
        <f t="shared" si="2"/>
        <v>包装KD052C</v>
      </c>
      <c r="G82" s="274">
        <f>G83</f>
        <v>0.61</v>
      </c>
      <c r="H82" s="272">
        <f t="shared" si="3"/>
        <v>622.2</v>
      </c>
    </row>
    <row r="83" spans="1:8">
      <c r="A83" s="273">
        <v>44841</v>
      </c>
      <c r="B83" s="27" t="s">
        <v>144</v>
      </c>
      <c r="C83" s="27" t="s">
        <v>131</v>
      </c>
      <c r="D83" s="27" t="s">
        <v>135</v>
      </c>
      <c r="E83" s="27">
        <v>25860</v>
      </c>
      <c r="F83" s="45" t="str">
        <f t="shared" si="2"/>
        <v>包装KD053</v>
      </c>
      <c r="G83" s="274">
        <f>G84</f>
        <v>0.61</v>
      </c>
      <c r="H83" s="272">
        <f t="shared" si="3"/>
        <v>15774.6</v>
      </c>
    </row>
    <row r="84" spans="1:8">
      <c r="A84" s="273">
        <v>44841</v>
      </c>
      <c r="B84" s="27" t="s">
        <v>144</v>
      </c>
      <c r="C84" s="27" t="s">
        <v>131</v>
      </c>
      <c r="D84" s="27" t="s">
        <v>137</v>
      </c>
      <c r="E84" s="27">
        <v>7200</v>
      </c>
      <c r="F84" s="45" t="str">
        <f t="shared" si="2"/>
        <v>包装UD005R</v>
      </c>
      <c r="G84" s="274">
        <v>0.61</v>
      </c>
      <c r="H84" s="272">
        <f t="shared" si="3"/>
        <v>4392</v>
      </c>
    </row>
    <row r="85" spans="1:8">
      <c r="A85" s="273">
        <v>44841</v>
      </c>
      <c r="B85" s="27" t="s">
        <v>144</v>
      </c>
      <c r="C85" s="27" t="s">
        <v>138</v>
      </c>
      <c r="D85" s="27" t="s">
        <v>140</v>
      </c>
      <c r="E85" s="27">
        <v>5115</v>
      </c>
      <c r="F85" s="45" t="str">
        <f t="shared" si="2"/>
        <v>包装UD009A</v>
      </c>
      <c r="G85" s="274">
        <v>0.61</v>
      </c>
      <c r="H85" s="272">
        <f t="shared" si="3"/>
        <v>3120.15</v>
      </c>
    </row>
    <row r="86" spans="1:8">
      <c r="A86" s="273">
        <v>44841</v>
      </c>
      <c r="B86" s="27" t="s">
        <v>144</v>
      </c>
      <c r="C86" s="27" t="s">
        <v>138</v>
      </c>
      <c r="D86" s="27" t="s">
        <v>145</v>
      </c>
      <c r="E86" s="27">
        <v>1900</v>
      </c>
      <c r="F86" s="45" t="str">
        <f t="shared" si="2"/>
        <v>包装UD009C</v>
      </c>
      <c r="G86" s="274">
        <f>G85</f>
        <v>0.61</v>
      </c>
      <c r="H86" s="272">
        <f t="shared" si="3"/>
        <v>1159</v>
      </c>
    </row>
    <row r="87" spans="1:8">
      <c r="A87" s="273">
        <v>44841</v>
      </c>
      <c r="B87" s="27" t="s">
        <v>144</v>
      </c>
      <c r="C87" s="27" t="s">
        <v>138</v>
      </c>
      <c r="D87" s="27" t="s">
        <v>153</v>
      </c>
      <c r="E87" s="27">
        <v>1500</v>
      </c>
      <c r="F87" s="45" t="str">
        <f t="shared" si="2"/>
        <v>包装UD010</v>
      </c>
      <c r="G87" s="274">
        <v>0.41</v>
      </c>
      <c r="H87" s="272">
        <f t="shared" si="3"/>
        <v>615</v>
      </c>
    </row>
    <row r="88" spans="1:8">
      <c r="A88" s="273">
        <v>44841</v>
      </c>
      <c r="B88" s="27" t="s">
        <v>144</v>
      </c>
      <c r="C88" s="27" t="s">
        <v>138</v>
      </c>
      <c r="D88" s="27" t="s">
        <v>81</v>
      </c>
      <c r="E88" s="27">
        <v>1492</v>
      </c>
      <c r="F88" s="45" t="str">
        <f t="shared" si="2"/>
        <v>包装UD015</v>
      </c>
      <c r="G88" s="274">
        <v>0.41</v>
      </c>
      <c r="H88" s="272">
        <f t="shared" si="3"/>
        <v>611.72</v>
      </c>
    </row>
    <row r="89" spans="1:8">
      <c r="A89" s="273">
        <v>44841</v>
      </c>
      <c r="B89" s="27" t="s">
        <v>144</v>
      </c>
      <c r="C89" s="27" t="s">
        <v>138</v>
      </c>
      <c r="D89" s="27" t="s">
        <v>141</v>
      </c>
      <c r="E89" s="27">
        <v>68040</v>
      </c>
      <c r="F89" s="45" t="str">
        <f t="shared" si="2"/>
        <v>包装UD015A</v>
      </c>
      <c r="G89" s="274">
        <v>0.41</v>
      </c>
      <c r="H89" s="272">
        <f t="shared" si="3"/>
        <v>27896.4</v>
      </c>
    </row>
    <row r="90" spans="1:8">
      <c r="A90" s="273">
        <v>44841</v>
      </c>
      <c r="B90" s="27" t="s">
        <v>144</v>
      </c>
      <c r="C90" s="27" t="s">
        <v>138</v>
      </c>
      <c r="D90" s="27" t="s">
        <v>148</v>
      </c>
      <c r="E90" s="27">
        <v>300</v>
      </c>
      <c r="F90" s="45" t="str">
        <f t="shared" si="2"/>
        <v>包装UD026</v>
      </c>
      <c r="G90" s="274">
        <v>0.41</v>
      </c>
      <c r="H90" s="272">
        <f t="shared" si="3"/>
        <v>123</v>
      </c>
    </row>
    <row r="91" spans="1:8">
      <c r="A91" s="273">
        <v>44841</v>
      </c>
      <c r="B91" s="27" t="s">
        <v>144</v>
      </c>
      <c r="C91" s="27" t="s">
        <v>138</v>
      </c>
      <c r="D91" s="27" t="s">
        <v>146</v>
      </c>
      <c r="E91" s="27">
        <v>4400</v>
      </c>
      <c r="F91" s="45" t="str">
        <f t="shared" si="2"/>
        <v>包装UD035</v>
      </c>
      <c r="G91" s="274">
        <v>0.41</v>
      </c>
      <c r="H91" s="272">
        <f t="shared" si="3"/>
        <v>1804</v>
      </c>
    </row>
    <row r="92" spans="1:8">
      <c r="A92" s="273">
        <v>44841</v>
      </c>
      <c r="B92" s="27" t="s">
        <v>154</v>
      </c>
      <c r="C92" s="27" t="s">
        <v>138</v>
      </c>
      <c r="D92" s="27" t="s">
        <v>75</v>
      </c>
      <c r="E92" s="27">
        <v>5050</v>
      </c>
      <c r="F92" s="45" t="str">
        <f t="shared" si="2"/>
        <v>包装后段UD007</v>
      </c>
      <c r="G92" s="274">
        <f>G93</f>
        <v>0.149682539682539</v>
      </c>
      <c r="H92" s="272">
        <f t="shared" si="3"/>
        <v>755.896825396822</v>
      </c>
    </row>
    <row r="93" spans="1:8">
      <c r="A93" s="273">
        <v>44841</v>
      </c>
      <c r="B93" s="27" t="s">
        <v>154</v>
      </c>
      <c r="C93" s="27" t="s">
        <v>138</v>
      </c>
      <c r="D93" s="27" t="s">
        <v>140</v>
      </c>
      <c r="E93" s="27">
        <v>10500</v>
      </c>
      <c r="F93" s="45" t="str">
        <f t="shared" si="2"/>
        <v>包装后段UD009A</v>
      </c>
      <c r="G93" s="274">
        <v>0.149682539682539</v>
      </c>
      <c r="H93" s="272">
        <f t="shared" si="3"/>
        <v>1571.66666666666</v>
      </c>
    </row>
  </sheetData>
  <autoFilter ref="A1:E93">
    <extLst/>
  </autoFilter>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K46"/>
  <sheetViews>
    <sheetView zoomScale="70" zoomScaleNormal="70" workbookViewId="0">
      <pane xSplit="4" ySplit="1" topLeftCell="E14" activePane="bottomRight" state="frozen"/>
      <selection/>
      <selection pane="topRight"/>
      <selection pane="bottomLeft"/>
      <selection pane="bottomRight" activeCell="G27" sqref="G27"/>
    </sheetView>
  </sheetViews>
  <sheetFormatPr defaultColWidth="9" defaultRowHeight="13.5"/>
  <cols>
    <col min="1" max="1" width="5.775" customWidth="1"/>
    <col min="2" max="2" width="27.4416666666667" customWidth="1"/>
    <col min="3" max="3" width="18.225" customWidth="1"/>
    <col min="4" max="9" width="9.66666666666667" customWidth="1"/>
    <col min="10" max="36" width="7.33333333333333" customWidth="1"/>
  </cols>
  <sheetData>
    <row r="1" ht="24" customHeight="1" spans="1:37">
      <c r="A1" s="241"/>
      <c r="B1" s="242" t="s">
        <v>155</v>
      </c>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64"/>
    </row>
    <row r="2" s="240" customFormat="1" ht="24" customHeight="1" spans="1:37">
      <c r="A2" s="243" t="s">
        <v>156</v>
      </c>
      <c r="B2" s="244" t="s">
        <v>118</v>
      </c>
      <c r="C2" s="244" t="s">
        <v>57</v>
      </c>
      <c r="D2" s="245" t="s">
        <v>157</v>
      </c>
      <c r="E2" s="246" t="s">
        <v>158</v>
      </c>
      <c r="F2" s="245">
        <v>44838</v>
      </c>
      <c r="G2" s="245">
        <v>44839</v>
      </c>
      <c r="H2" s="245">
        <v>44840</v>
      </c>
      <c r="I2" s="245">
        <v>44841</v>
      </c>
      <c r="J2" s="245">
        <v>44842</v>
      </c>
      <c r="K2" s="245">
        <v>44843</v>
      </c>
      <c r="L2" s="246" t="s">
        <v>159</v>
      </c>
      <c r="M2" s="245">
        <v>44844</v>
      </c>
      <c r="N2" s="245">
        <v>44845</v>
      </c>
      <c r="O2" s="245">
        <v>44846</v>
      </c>
      <c r="P2" s="245">
        <v>44847</v>
      </c>
      <c r="Q2" s="245">
        <v>44848</v>
      </c>
      <c r="R2" s="245">
        <v>44849</v>
      </c>
      <c r="S2" s="245">
        <v>44850</v>
      </c>
      <c r="T2" s="246" t="s">
        <v>160</v>
      </c>
      <c r="U2" s="245">
        <v>44851</v>
      </c>
      <c r="V2" s="245">
        <v>44852</v>
      </c>
      <c r="W2" s="245">
        <v>44853</v>
      </c>
      <c r="X2" s="245">
        <v>44854</v>
      </c>
      <c r="Y2" s="245">
        <v>44855</v>
      </c>
      <c r="Z2" s="245">
        <v>44856</v>
      </c>
      <c r="AA2" s="245">
        <v>44857</v>
      </c>
      <c r="AB2" s="246" t="s">
        <v>161</v>
      </c>
      <c r="AC2" s="245">
        <v>44858</v>
      </c>
      <c r="AD2" s="245">
        <v>44859</v>
      </c>
      <c r="AE2" s="245">
        <v>44860</v>
      </c>
      <c r="AF2" s="245">
        <v>44861</v>
      </c>
      <c r="AG2" s="245">
        <v>44862</v>
      </c>
      <c r="AH2" s="245">
        <v>44863</v>
      </c>
      <c r="AI2" s="245">
        <v>44864</v>
      </c>
      <c r="AJ2" s="246" t="s">
        <v>162</v>
      </c>
      <c r="AK2" s="265">
        <v>44865</v>
      </c>
    </row>
    <row r="3" s="240" customFormat="1" ht="15" customHeight="1" spans="1:37">
      <c r="A3" s="247" t="s">
        <v>163</v>
      </c>
      <c r="B3" s="248" t="s">
        <v>164</v>
      </c>
      <c r="C3" s="249" t="s">
        <v>165</v>
      </c>
      <c r="D3" s="249">
        <f t="shared" ref="D3:D8" si="0">E3+L3+T3+AB3</f>
        <v>21</v>
      </c>
      <c r="E3" s="250">
        <f t="shared" ref="E3:E8" si="1">SUM(F3:K3)</f>
        <v>21</v>
      </c>
      <c r="F3" s="249">
        <v>6</v>
      </c>
      <c r="G3" s="249">
        <v>4</v>
      </c>
      <c r="H3" s="249">
        <v>6</v>
      </c>
      <c r="I3" s="249">
        <v>5</v>
      </c>
      <c r="J3" s="249"/>
      <c r="K3" s="249"/>
      <c r="L3" s="250">
        <f t="shared" ref="L3:L8" si="2">SUM(M3:S3)</f>
        <v>0</v>
      </c>
      <c r="M3" s="249"/>
      <c r="N3" s="249"/>
      <c r="O3" s="249"/>
      <c r="P3" s="249"/>
      <c r="Q3" s="249"/>
      <c r="R3" s="249"/>
      <c r="S3" s="249"/>
      <c r="T3" s="250">
        <f t="shared" ref="T3:T8" si="3">SUM(U3:AA3)</f>
        <v>0</v>
      </c>
      <c r="U3" s="249"/>
      <c r="V3" s="249"/>
      <c r="W3" s="249"/>
      <c r="X3" s="249"/>
      <c r="Y3" s="249"/>
      <c r="Z3" s="249"/>
      <c r="AA3" s="249"/>
      <c r="AB3" s="250">
        <f t="shared" ref="AB3:AB8" si="4">SUM(AC3:AI3)</f>
        <v>0</v>
      </c>
      <c r="AC3" s="249"/>
      <c r="AD3" s="249"/>
      <c r="AE3" s="249"/>
      <c r="AF3" s="249"/>
      <c r="AG3" s="249"/>
      <c r="AH3" s="249"/>
      <c r="AI3" s="249"/>
      <c r="AJ3" s="250">
        <f t="shared" ref="AJ3:AJ8" si="5">SUM(AK3:AQ3)</f>
        <v>0</v>
      </c>
      <c r="AK3" s="266"/>
    </row>
    <row r="4" s="240" customFormat="1" ht="15" customHeight="1" spans="1:37">
      <c r="A4" s="251"/>
      <c r="B4" s="248"/>
      <c r="C4" s="249" t="s">
        <v>166</v>
      </c>
      <c r="D4" s="249">
        <f t="shared" si="0"/>
        <v>16</v>
      </c>
      <c r="E4" s="250">
        <f t="shared" si="1"/>
        <v>16</v>
      </c>
      <c r="F4" s="249">
        <v>6</v>
      </c>
      <c r="G4" s="249">
        <v>3</v>
      </c>
      <c r="H4" s="249">
        <v>3</v>
      </c>
      <c r="I4" s="249">
        <v>4</v>
      </c>
      <c r="J4" s="249"/>
      <c r="K4" s="249"/>
      <c r="L4" s="250">
        <f t="shared" si="2"/>
        <v>0</v>
      </c>
      <c r="M4" s="249"/>
      <c r="N4" s="249"/>
      <c r="O4" s="249"/>
      <c r="P4" s="249"/>
      <c r="Q4" s="249"/>
      <c r="R4" s="249"/>
      <c r="S4" s="249"/>
      <c r="T4" s="250">
        <f t="shared" si="3"/>
        <v>0</v>
      </c>
      <c r="U4" s="249"/>
      <c r="V4" s="249"/>
      <c r="W4" s="249"/>
      <c r="X4" s="249"/>
      <c r="Y4" s="249"/>
      <c r="Z4" s="249"/>
      <c r="AA4" s="249"/>
      <c r="AB4" s="250">
        <f t="shared" si="4"/>
        <v>0</v>
      </c>
      <c r="AC4" s="249"/>
      <c r="AD4" s="249"/>
      <c r="AE4" s="249"/>
      <c r="AF4" s="249"/>
      <c r="AG4" s="249"/>
      <c r="AH4" s="249"/>
      <c r="AI4" s="249"/>
      <c r="AJ4" s="250">
        <f t="shared" si="5"/>
        <v>0</v>
      </c>
      <c r="AK4" s="266"/>
    </row>
    <row r="5" s="240" customFormat="1" ht="22.05" customHeight="1" spans="1:37">
      <c r="A5" s="251"/>
      <c r="B5" s="248"/>
      <c r="C5" s="249" t="s">
        <v>167</v>
      </c>
      <c r="D5" s="249">
        <f t="shared" ref="D5:AK5" si="6">D3-D4</f>
        <v>5</v>
      </c>
      <c r="E5" s="250">
        <f t="shared" si="6"/>
        <v>5</v>
      </c>
      <c r="F5" s="249">
        <f t="shared" si="6"/>
        <v>0</v>
      </c>
      <c r="G5" s="249">
        <f t="shared" si="6"/>
        <v>1</v>
      </c>
      <c r="H5" s="249">
        <f t="shared" si="6"/>
        <v>3</v>
      </c>
      <c r="I5" s="249">
        <f t="shared" si="6"/>
        <v>1</v>
      </c>
      <c r="J5" s="249">
        <f t="shared" si="6"/>
        <v>0</v>
      </c>
      <c r="K5" s="249">
        <f t="shared" si="6"/>
        <v>0</v>
      </c>
      <c r="L5" s="250">
        <f t="shared" si="6"/>
        <v>0</v>
      </c>
      <c r="M5" s="249">
        <f t="shared" si="6"/>
        <v>0</v>
      </c>
      <c r="N5" s="249">
        <f t="shared" si="6"/>
        <v>0</v>
      </c>
      <c r="O5" s="249">
        <f t="shared" si="6"/>
        <v>0</v>
      </c>
      <c r="P5" s="249">
        <f t="shared" si="6"/>
        <v>0</v>
      </c>
      <c r="Q5" s="249">
        <f t="shared" si="6"/>
        <v>0</v>
      </c>
      <c r="R5" s="249">
        <f t="shared" si="6"/>
        <v>0</v>
      </c>
      <c r="S5" s="249">
        <f t="shared" si="6"/>
        <v>0</v>
      </c>
      <c r="T5" s="250">
        <f t="shared" si="6"/>
        <v>0</v>
      </c>
      <c r="U5" s="249">
        <f t="shared" si="6"/>
        <v>0</v>
      </c>
      <c r="V5" s="249">
        <f t="shared" si="6"/>
        <v>0</v>
      </c>
      <c r="W5" s="249">
        <f t="shared" si="6"/>
        <v>0</v>
      </c>
      <c r="X5" s="249">
        <f t="shared" si="6"/>
        <v>0</v>
      </c>
      <c r="Y5" s="249">
        <f t="shared" si="6"/>
        <v>0</v>
      </c>
      <c r="Z5" s="249">
        <f t="shared" si="6"/>
        <v>0</v>
      </c>
      <c r="AA5" s="249">
        <f t="shared" si="6"/>
        <v>0</v>
      </c>
      <c r="AB5" s="250">
        <f t="shared" si="6"/>
        <v>0</v>
      </c>
      <c r="AC5" s="249">
        <f t="shared" si="6"/>
        <v>0</v>
      </c>
      <c r="AD5" s="249">
        <f t="shared" si="6"/>
        <v>0</v>
      </c>
      <c r="AE5" s="249">
        <f t="shared" si="6"/>
        <v>0</v>
      </c>
      <c r="AF5" s="249">
        <f t="shared" si="6"/>
        <v>0</v>
      </c>
      <c r="AG5" s="249">
        <f t="shared" si="6"/>
        <v>0</v>
      </c>
      <c r="AH5" s="249">
        <f t="shared" si="6"/>
        <v>0</v>
      </c>
      <c r="AI5" s="249">
        <f t="shared" si="6"/>
        <v>0</v>
      </c>
      <c r="AJ5" s="250">
        <f t="shared" si="6"/>
        <v>0</v>
      </c>
      <c r="AK5" s="266">
        <f t="shared" si="6"/>
        <v>0</v>
      </c>
    </row>
    <row r="6" s="240" customFormat="1" ht="15" customHeight="1" spans="1:37">
      <c r="A6" s="251"/>
      <c r="B6" s="248"/>
      <c r="C6" s="249" t="s">
        <v>168</v>
      </c>
      <c r="D6" s="252">
        <f t="shared" ref="D6:AK6" si="7">D4/D3</f>
        <v>0.761904761904762</v>
      </c>
      <c r="E6" s="253">
        <f t="shared" si="7"/>
        <v>0.761904761904762</v>
      </c>
      <c r="F6" s="252">
        <f t="shared" si="7"/>
        <v>1</v>
      </c>
      <c r="G6" s="252">
        <f t="shared" si="7"/>
        <v>0.75</v>
      </c>
      <c r="H6" s="252">
        <f t="shared" si="7"/>
        <v>0.5</v>
      </c>
      <c r="I6" s="252">
        <f t="shared" si="7"/>
        <v>0.8</v>
      </c>
      <c r="J6" s="252" t="e">
        <f t="shared" si="7"/>
        <v>#DIV/0!</v>
      </c>
      <c r="K6" s="252" t="e">
        <f t="shared" si="7"/>
        <v>#DIV/0!</v>
      </c>
      <c r="L6" s="253" t="e">
        <f t="shared" si="7"/>
        <v>#DIV/0!</v>
      </c>
      <c r="M6" s="252" t="e">
        <f t="shared" si="7"/>
        <v>#DIV/0!</v>
      </c>
      <c r="N6" s="252" t="e">
        <f t="shared" si="7"/>
        <v>#DIV/0!</v>
      </c>
      <c r="O6" s="252" t="e">
        <f t="shared" si="7"/>
        <v>#DIV/0!</v>
      </c>
      <c r="P6" s="252" t="e">
        <f t="shared" si="7"/>
        <v>#DIV/0!</v>
      </c>
      <c r="Q6" s="252" t="e">
        <f t="shared" si="7"/>
        <v>#DIV/0!</v>
      </c>
      <c r="R6" s="252" t="e">
        <f t="shared" si="7"/>
        <v>#DIV/0!</v>
      </c>
      <c r="S6" s="252" t="e">
        <f t="shared" si="7"/>
        <v>#DIV/0!</v>
      </c>
      <c r="T6" s="253" t="e">
        <f t="shared" si="7"/>
        <v>#DIV/0!</v>
      </c>
      <c r="U6" s="252" t="e">
        <f t="shared" si="7"/>
        <v>#DIV/0!</v>
      </c>
      <c r="V6" s="252" t="e">
        <f t="shared" si="7"/>
        <v>#DIV/0!</v>
      </c>
      <c r="W6" s="252" t="e">
        <f t="shared" si="7"/>
        <v>#DIV/0!</v>
      </c>
      <c r="X6" s="252" t="e">
        <f t="shared" si="7"/>
        <v>#DIV/0!</v>
      </c>
      <c r="Y6" s="252" t="e">
        <f t="shared" si="7"/>
        <v>#DIV/0!</v>
      </c>
      <c r="Z6" s="252" t="e">
        <f t="shared" si="7"/>
        <v>#DIV/0!</v>
      </c>
      <c r="AA6" s="252" t="e">
        <f t="shared" si="7"/>
        <v>#DIV/0!</v>
      </c>
      <c r="AB6" s="253" t="e">
        <f t="shared" si="7"/>
        <v>#DIV/0!</v>
      </c>
      <c r="AC6" s="252" t="e">
        <f t="shared" si="7"/>
        <v>#DIV/0!</v>
      </c>
      <c r="AD6" s="252" t="e">
        <f t="shared" si="7"/>
        <v>#DIV/0!</v>
      </c>
      <c r="AE6" s="252" t="e">
        <f t="shared" si="7"/>
        <v>#DIV/0!</v>
      </c>
      <c r="AF6" s="252" t="e">
        <f t="shared" si="7"/>
        <v>#DIV/0!</v>
      </c>
      <c r="AG6" s="252" t="e">
        <f t="shared" si="7"/>
        <v>#DIV/0!</v>
      </c>
      <c r="AH6" s="252" t="e">
        <f t="shared" si="7"/>
        <v>#DIV/0!</v>
      </c>
      <c r="AI6" s="252" t="e">
        <f t="shared" si="7"/>
        <v>#DIV/0!</v>
      </c>
      <c r="AJ6" s="253" t="e">
        <f t="shared" si="7"/>
        <v>#DIV/0!</v>
      </c>
      <c r="AK6" s="267" t="e">
        <f t="shared" si="7"/>
        <v>#DIV/0!</v>
      </c>
    </row>
    <row r="7" s="240" customFormat="1" ht="15" customHeight="1" spans="1:37">
      <c r="A7" s="251"/>
      <c r="B7" s="248" t="s">
        <v>169</v>
      </c>
      <c r="C7" s="249" t="s">
        <v>165</v>
      </c>
      <c r="D7" s="249">
        <f t="shared" si="0"/>
        <v>75</v>
      </c>
      <c r="E7" s="250">
        <f t="shared" si="1"/>
        <v>75</v>
      </c>
      <c r="F7" s="249">
        <v>22</v>
      </c>
      <c r="G7" s="249">
        <v>32</v>
      </c>
      <c r="H7" s="249">
        <v>3</v>
      </c>
      <c r="I7" s="249">
        <v>18</v>
      </c>
      <c r="J7" s="249"/>
      <c r="K7" s="249"/>
      <c r="L7" s="250">
        <f t="shared" si="2"/>
        <v>0</v>
      </c>
      <c r="M7" s="249"/>
      <c r="N7" s="249"/>
      <c r="O7" s="249"/>
      <c r="P7" s="249"/>
      <c r="Q7" s="249"/>
      <c r="R7" s="249"/>
      <c r="S7" s="249"/>
      <c r="T7" s="250">
        <f t="shared" si="3"/>
        <v>0</v>
      </c>
      <c r="U7" s="249"/>
      <c r="V7" s="249"/>
      <c r="W7" s="249"/>
      <c r="X7" s="249"/>
      <c r="Y7" s="249"/>
      <c r="Z7" s="249"/>
      <c r="AA7" s="249"/>
      <c r="AB7" s="250">
        <f t="shared" si="4"/>
        <v>0</v>
      </c>
      <c r="AC7" s="249"/>
      <c r="AD7" s="249"/>
      <c r="AE7" s="249"/>
      <c r="AF7" s="249"/>
      <c r="AG7" s="249"/>
      <c r="AH7" s="249"/>
      <c r="AI7" s="249"/>
      <c r="AJ7" s="250">
        <f t="shared" si="5"/>
        <v>0</v>
      </c>
      <c r="AK7" s="266"/>
    </row>
    <row r="8" s="240" customFormat="1" ht="15" customHeight="1" spans="1:37">
      <c r="A8" s="251"/>
      <c r="B8" s="248"/>
      <c r="C8" s="249" t="s">
        <v>166</v>
      </c>
      <c r="D8" s="249">
        <f t="shared" si="0"/>
        <v>63</v>
      </c>
      <c r="E8" s="250">
        <f t="shared" si="1"/>
        <v>63</v>
      </c>
      <c r="F8" s="249">
        <v>12</v>
      </c>
      <c r="G8" s="249">
        <v>32</v>
      </c>
      <c r="H8" s="249">
        <v>2</v>
      </c>
      <c r="I8" s="249">
        <v>17</v>
      </c>
      <c r="J8" s="249"/>
      <c r="K8" s="249"/>
      <c r="L8" s="250">
        <f t="shared" si="2"/>
        <v>0</v>
      </c>
      <c r="M8" s="249"/>
      <c r="N8" s="249"/>
      <c r="O8" s="249"/>
      <c r="P8" s="249"/>
      <c r="Q8" s="249"/>
      <c r="R8" s="249"/>
      <c r="S8" s="249"/>
      <c r="T8" s="250">
        <f t="shared" si="3"/>
        <v>0</v>
      </c>
      <c r="U8" s="249"/>
      <c r="V8" s="249"/>
      <c r="W8" s="249"/>
      <c r="X8" s="249"/>
      <c r="Y8" s="249"/>
      <c r="Z8" s="249"/>
      <c r="AA8" s="249"/>
      <c r="AB8" s="250">
        <f t="shared" si="4"/>
        <v>0</v>
      </c>
      <c r="AC8" s="249"/>
      <c r="AD8" s="249"/>
      <c r="AE8" s="249"/>
      <c r="AF8" s="249"/>
      <c r="AG8" s="249"/>
      <c r="AH8" s="249"/>
      <c r="AI8" s="249"/>
      <c r="AJ8" s="250">
        <f t="shared" si="5"/>
        <v>0</v>
      </c>
      <c r="AK8" s="266"/>
    </row>
    <row r="9" s="240" customFormat="1" ht="15" customHeight="1" spans="1:37">
      <c r="A9" s="251"/>
      <c r="B9" s="248"/>
      <c r="C9" s="249" t="s">
        <v>167</v>
      </c>
      <c r="D9" s="249">
        <f t="shared" ref="D9:H9" si="8">D7-D8</f>
        <v>12</v>
      </c>
      <c r="E9" s="250">
        <f t="shared" si="8"/>
        <v>12</v>
      </c>
      <c r="F9" s="249">
        <f t="shared" si="8"/>
        <v>10</v>
      </c>
      <c r="G9" s="249">
        <f t="shared" si="8"/>
        <v>0</v>
      </c>
      <c r="H9" s="249">
        <f t="shared" si="8"/>
        <v>1</v>
      </c>
      <c r="I9" s="249">
        <v>0</v>
      </c>
      <c r="J9" s="249">
        <v>0</v>
      </c>
      <c r="K9" s="249">
        <v>0</v>
      </c>
      <c r="L9" s="250">
        <f t="shared" ref="L9:AK9" si="9">L7-L8</f>
        <v>0</v>
      </c>
      <c r="M9" s="249">
        <f t="shared" si="9"/>
        <v>0</v>
      </c>
      <c r="N9" s="249">
        <f t="shared" si="9"/>
        <v>0</v>
      </c>
      <c r="O9" s="249">
        <f t="shared" si="9"/>
        <v>0</v>
      </c>
      <c r="P9" s="249">
        <f t="shared" si="9"/>
        <v>0</v>
      </c>
      <c r="Q9" s="249">
        <f t="shared" si="9"/>
        <v>0</v>
      </c>
      <c r="R9" s="249">
        <f t="shared" si="9"/>
        <v>0</v>
      </c>
      <c r="S9" s="249">
        <f t="shared" si="9"/>
        <v>0</v>
      </c>
      <c r="T9" s="250">
        <f t="shared" si="9"/>
        <v>0</v>
      </c>
      <c r="U9" s="249">
        <f t="shared" si="9"/>
        <v>0</v>
      </c>
      <c r="V9" s="249">
        <f t="shared" si="9"/>
        <v>0</v>
      </c>
      <c r="W9" s="249">
        <f t="shared" si="9"/>
        <v>0</v>
      </c>
      <c r="X9" s="249">
        <f t="shared" si="9"/>
        <v>0</v>
      </c>
      <c r="Y9" s="249">
        <f t="shared" si="9"/>
        <v>0</v>
      </c>
      <c r="Z9" s="249">
        <f t="shared" si="9"/>
        <v>0</v>
      </c>
      <c r="AA9" s="249">
        <f t="shared" si="9"/>
        <v>0</v>
      </c>
      <c r="AB9" s="250">
        <f t="shared" si="9"/>
        <v>0</v>
      </c>
      <c r="AC9" s="249">
        <f t="shared" si="9"/>
        <v>0</v>
      </c>
      <c r="AD9" s="249">
        <f t="shared" si="9"/>
        <v>0</v>
      </c>
      <c r="AE9" s="249">
        <f t="shared" si="9"/>
        <v>0</v>
      </c>
      <c r="AF9" s="249">
        <f t="shared" si="9"/>
        <v>0</v>
      </c>
      <c r="AG9" s="249">
        <f t="shared" si="9"/>
        <v>0</v>
      </c>
      <c r="AH9" s="249">
        <f t="shared" si="9"/>
        <v>0</v>
      </c>
      <c r="AI9" s="249">
        <f t="shared" si="9"/>
        <v>0</v>
      </c>
      <c r="AJ9" s="250">
        <f t="shared" si="9"/>
        <v>0</v>
      </c>
      <c r="AK9" s="266">
        <f t="shared" si="9"/>
        <v>0</v>
      </c>
    </row>
    <row r="10" s="240" customFormat="1" ht="15" customHeight="1" spans="1:37">
      <c r="A10" s="251"/>
      <c r="B10" s="248"/>
      <c r="C10" s="249" t="s">
        <v>168</v>
      </c>
      <c r="D10" s="252">
        <f t="shared" ref="D10:AK10" si="10">D8/D7</f>
        <v>0.84</v>
      </c>
      <c r="E10" s="253">
        <f t="shared" si="10"/>
        <v>0.84</v>
      </c>
      <c r="F10" s="252">
        <f t="shared" si="10"/>
        <v>0.545454545454545</v>
      </c>
      <c r="G10" s="252">
        <f t="shared" si="10"/>
        <v>1</v>
      </c>
      <c r="H10" s="252">
        <f t="shared" si="10"/>
        <v>0.666666666666667</v>
      </c>
      <c r="I10" s="252">
        <f t="shared" si="10"/>
        <v>0.944444444444444</v>
      </c>
      <c r="J10" s="252" t="e">
        <f t="shared" si="10"/>
        <v>#DIV/0!</v>
      </c>
      <c r="K10" s="252" t="e">
        <f t="shared" si="10"/>
        <v>#DIV/0!</v>
      </c>
      <c r="L10" s="253" t="e">
        <f t="shared" si="10"/>
        <v>#DIV/0!</v>
      </c>
      <c r="M10" s="252" t="e">
        <f t="shared" si="10"/>
        <v>#DIV/0!</v>
      </c>
      <c r="N10" s="252" t="e">
        <f t="shared" si="10"/>
        <v>#DIV/0!</v>
      </c>
      <c r="O10" s="252" t="e">
        <f t="shared" si="10"/>
        <v>#DIV/0!</v>
      </c>
      <c r="P10" s="252" t="e">
        <f t="shared" si="10"/>
        <v>#DIV/0!</v>
      </c>
      <c r="Q10" s="252" t="e">
        <f t="shared" si="10"/>
        <v>#DIV/0!</v>
      </c>
      <c r="R10" s="252" t="e">
        <f t="shared" si="10"/>
        <v>#DIV/0!</v>
      </c>
      <c r="S10" s="252" t="e">
        <f t="shared" si="10"/>
        <v>#DIV/0!</v>
      </c>
      <c r="T10" s="253" t="e">
        <f t="shared" si="10"/>
        <v>#DIV/0!</v>
      </c>
      <c r="U10" s="252" t="e">
        <f t="shared" si="10"/>
        <v>#DIV/0!</v>
      </c>
      <c r="V10" s="252" t="e">
        <f t="shared" si="10"/>
        <v>#DIV/0!</v>
      </c>
      <c r="W10" s="252" t="e">
        <f t="shared" si="10"/>
        <v>#DIV/0!</v>
      </c>
      <c r="X10" s="252" t="e">
        <f t="shared" si="10"/>
        <v>#DIV/0!</v>
      </c>
      <c r="Y10" s="252" t="e">
        <f t="shared" si="10"/>
        <v>#DIV/0!</v>
      </c>
      <c r="Z10" s="252" t="e">
        <f t="shared" si="10"/>
        <v>#DIV/0!</v>
      </c>
      <c r="AA10" s="252" t="e">
        <f t="shared" si="10"/>
        <v>#DIV/0!</v>
      </c>
      <c r="AB10" s="253" t="e">
        <f t="shared" si="10"/>
        <v>#DIV/0!</v>
      </c>
      <c r="AC10" s="252" t="e">
        <f t="shared" si="10"/>
        <v>#DIV/0!</v>
      </c>
      <c r="AD10" s="252" t="e">
        <f t="shared" si="10"/>
        <v>#DIV/0!</v>
      </c>
      <c r="AE10" s="252" t="e">
        <f t="shared" si="10"/>
        <v>#DIV/0!</v>
      </c>
      <c r="AF10" s="252" t="e">
        <f t="shared" si="10"/>
        <v>#DIV/0!</v>
      </c>
      <c r="AG10" s="252" t="e">
        <f t="shared" si="10"/>
        <v>#DIV/0!</v>
      </c>
      <c r="AH10" s="252" t="e">
        <f t="shared" si="10"/>
        <v>#DIV/0!</v>
      </c>
      <c r="AI10" s="252" t="e">
        <f t="shared" si="10"/>
        <v>#DIV/0!</v>
      </c>
      <c r="AJ10" s="253" t="e">
        <f t="shared" si="10"/>
        <v>#DIV/0!</v>
      </c>
      <c r="AK10" s="267" t="e">
        <f t="shared" si="10"/>
        <v>#DIV/0!</v>
      </c>
    </row>
    <row r="11" s="240" customFormat="1" ht="15" customHeight="1" spans="1:37">
      <c r="A11" s="251"/>
      <c r="B11" s="244" t="s">
        <v>170</v>
      </c>
      <c r="C11" s="249" t="s">
        <v>165</v>
      </c>
      <c r="D11" s="249">
        <f t="shared" ref="D11:D16" si="11">E11+L11+T11+AB11</f>
        <v>96</v>
      </c>
      <c r="E11" s="250">
        <f t="shared" ref="E11:E16" si="12">SUM(F11:K11)</f>
        <v>96</v>
      </c>
      <c r="F11" s="249">
        <f t="shared" ref="F11:K11" si="13">+F7+F3</f>
        <v>28</v>
      </c>
      <c r="G11" s="249">
        <f t="shared" si="13"/>
        <v>36</v>
      </c>
      <c r="H11" s="249">
        <f t="shared" si="13"/>
        <v>9</v>
      </c>
      <c r="I11" s="249">
        <f t="shared" si="13"/>
        <v>23</v>
      </c>
      <c r="J11" s="249">
        <f t="shared" si="13"/>
        <v>0</v>
      </c>
      <c r="K11" s="249">
        <f t="shared" si="13"/>
        <v>0</v>
      </c>
      <c r="L11" s="250">
        <f t="shared" ref="L11:L16" si="14">SUM(M11:S11)</f>
        <v>0</v>
      </c>
      <c r="M11" s="249">
        <f t="shared" ref="M11:S11" si="15">+M7+M3</f>
        <v>0</v>
      </c>
      <c r="N11" s="249">
        <f t="shared" si="15"/>
        <v>0</v>
      </c>
      <c r="O11" s="249">
        <f t="shared" si="15"/>
        <v>0</v>
      </c>
      <c r="P11" s="249">
        <f t="shared" si="15"/>
        <v>0</v>
      </c>
      <c r="Q11" s="249">
        <f t="shared" si="15"/>
        <v>0</v>
      </c>
      <c r="R11" s="249">
        <f t="shared" si="15"/>
        <v>0</v>
      </c>
      <c r="S11" s="249">
        <f t="shared" si="15"/>
        <v>0</v>
      </c>
      <c r="T11" s="250">
        <f t="shared" ref="T11:T16" si="16">SUM(U11:AA11)</f>
        <v>0</v>
      </c>
      <c r="U11" s="249">
        <f t="shared" ref="U11:AA11" si="17">+U7+U3</f>
        <v>0</v>
      </c>
      <c r="V11" s="249">
        <f t="shared" si="17"/>
        <v>0</v>
      </c>
      <c r="W11" s="249">
        <f t="shared" si="17"/>
        <v>0</v>
      </c>
      <c r="X11" s="249">
        <f t="shared" si="17"/>
        <v>0</v>
      </c>
      <c r="Y11" s="249">
        <f t="shared" si="17"/>
        <v>0</v>
      </c>
      <c r="Z11" s="249">
        <f t="shared" si="17"/>
        <v>0</v>
      </c>
      <c r="AA11" s="249">
        <f t="shared" si="17"/>
        <v>0</v>
      </c>
      <c r="AB11" s="250">
        <f t="shared" ref="AB11:AB16" si="18">SUM(AC11:AI11)</f>
        <v>0</v>
      </c>
      <c r="AC11" s="249">
        <f t="shared" ref="AC11:AI11" si="19">+AC7+AC3</f>
        <v>0</v>
      </c>
      <c r="AD11" s="249">
        <f t="shared" si="19"/>
        <v>0</v>
      </c>
      <c r="AE11" s="249">
        <f t="shared" si="19"/>
        <v>0</v>
      </c>
      <c r="AF11" s="249">
        <f t="shared" si="19"/>
        <v>0</v>
      </c>
      <c r="AG11" s="249">
        <f t="shared" si="19"/>
        <v>0</v>
      </c>
      <c r="AH11" s="249">
        <f t="shared" si="19"/>
        <v>0</v>
      </c>
      <c r="AI11" s="249">
        <f t="shared" si="19"/>
        <v>0</v>
      </c>
      <c r="AJ11" s="250">
        <f t="shared" ref="AJ11:AJ16" si="20">SUM(AK11:AQ11)</f>
        <v>0</v>
      </c>
      <c r="AK11" s="249">
        <f>+AK7+AK3</f>
        <v>0</v>
      </c>
    </row>
    <row r="12" s="240" customFormat="1" ht="15" customHeight="1" spans="1:37">
      <c r="A12" s="251"/>
      <c r="B12" s="244"/>
      <c r="C12" s="249" t="s">
        <v>166</v>
      </c>
      <c r="D12" s="249">
        <f t="shared" si="11"/>
        <v>79</v>
      </c>
      <c r="E12" s="250">
        <f t="shared" si="12"/>
        <v>79</v>
      </c>
      <c r="F12" s="249">
        <f t="shared" ref="F12:K12" si="21">+F8+F4</f>
        <v>18</v>
      </c>
      <c r="G12" s="249">
        <f t="shared" si="21"/>
        <v>35</v>
      </c>
      <c r="H12" s="249">
        <f t="shared" si="21"/>
        <v>5</v>
      </c>
      <c r="I12" s="249">
        <f t="shared" si="21"/>
        <v>21</v>
      </c>
      <c r="J12" s="249">
        <f t="shared" si="21"/>
        <v>0</v>
      </c>
      <c r="K12" s="249">
        <f t="shared" si="21"/>
        <v>0</v>
      </c>
      <c r="L12" s="250">
        <f t="shared" si="14"/>
        <v>0</v>
      </c>
      <c r="M12" s="249">
        <f t="shared" ref="M12:S12" si="22">+M8+M4</f>
        <v>0</v>
      </c>
      <c r="N12" s="249">
        <f t="shared" si="22"/>
        <v>0</v>
      </c>
      <c r="O12" s="249">
        <f t="shared" si="22"/>
        <v>0</v>
      </c>
      <c r="P12" s="249">
        <f t="shared" si="22"/>
        <v>0</v>
      </c>
      <c r="Q12" s="249">
        <f t="shared" si="22"/>
        <v>0</v>
      </c>
      <c r="R12" s="249">
        <f t="shared" si="22"/>
        <v>0</v>
      </c>
      <c r="S12" s="249">
        <f t="shared" si="22"/>
        <v>0</v>
      </c>
      <c r="T12" s="250">
        <f t="shared" si="16"/>
        <v>0</v>
      </c>
      <c r="U12" s="249">
        <f t="shared" ref="U12:AA12" si="23">+U8+U4</f>
        <v>0</v>
      </c>
      <c r="V12" s="249">
        <f t="shared" si="23"/>
        <v>0</v>
      </c>
      <c r="W12" s="249">
        <f t="shared" si="23"/>
        <v>0</v>
      </c>
      <c r="X12" s="249">
        <f t="shared" si="23"/>
        <v>0</v>
      </c>
      <c r="Y12" s="249">
        <f t="shared" si="23"/>
        <v>0</v>
      </c>
      <c r="Z12" s="249">
        <f t="shared" si="23"/>
        <v>0</v>
      </c>
      <c r="AA12" s="249">
        <f t="shared" si="23"/>
        <v>0</v>
      </c>
      <c r="AB12" s="250">
        <f t="shared" si="18"/>
        <v>0</v>
      </c>
      <c r="AC12" s="249">
        <f t="shared" ref="AC12:AI12" si="24">+AC8+AC4</f>
        <v>0</v>
      </c>
      <c r="AD12" s="249">
        <f t="shared" si="24"/>
        <v>0</v>
      </c>
      <c r="AE12" s="249">
        <f t="shared" si="24"/>
        <v>0</v>
      </c>
      <c r="AF12" s="249">
        <f t="shared" si="24"/>
        <v>0</v>
      </c>
      <c r="AG12" s="249">
        <f t="shared" si="24"/>
        <v>0</v>
      </c>
      <c r="AH12" s="249">
        <f t="shared" si="24"/>
        <v>0</v>
      </c>
      <c r="AI12" s="249">
        <f t="shared" si="24"/>
        <v>0</v>
      </c>
      <c r="AJ12" s="250">
        <f t="shared" si="20"/>
        <v>0</v>
      </c>
      <c r="AK12" s="249">
        <f>+AK8+AK4</f>
        <v>0</v>
      </c>
    </row>
    <row r="13" s="240" customFormat="1" ht="15" customHeight="1" spans="1:37">
      <c r="A13" s="251"/>
      <c r="B13" s="244"/>
      <c r="C13" s="249" t="s">
        <v>167</v>
      </c>
      <c r="D13" s="249">
        <f t="shared" ref="D13:AK13" si="25">D11-D12</f>
        <v>17</v>
      </c>
      <c r="E13" s="250">
        <f t="shared" si="25"/>
        <v>17</v>
      </c>
      <c r="F13" s="249">
        <f t="shared" si="25"/>
        <v>10</v>
      </c>
      <c r="G13" s="249">
        <f t="shared" si="25"/>
        <v>1</v>
      </c>
      <c r="H13" s="249">
        <f t="shared" si="25"/>
        <v>4</v>
      </c>
      <c r="I13" s="249">
        <f t="shared" si="25"/>
        <v>2</v>
      </c>
      <c r="J13" s="249">
        <f t="shared" si="25"/>
        <v>0</v>
      </c>
      <c r="K13" s="249">
        <f t="shared" si="25"/>
        <v>0</v>
      </c>
      <c r="L13" s="250">
        <f t="shared" si="25"/>
        <v>0</v>
      </c>
      <c r="M13" s="249">
        <f t="shared" si="25"/>
        <v>0</v>
      </c>
      <c r="N13" s="249">
        <f t="shared" si="25"/>
        <v>0</v>
      </c>
      <c r="O13" s="249">
        <f t="shared" si="25"/>
        <v>0</v>
      </c>
      <c r="P13" s="249">
        <f t="shared" si="25"/>
        <v>0</v>
      </c>
      <c r="Q13" s="249">
        <f t="shared" si="25"/>
        <v>0</v>
      </c>
      <c r="R13" s="249">
        <f t="shared" si="25"/>
        <v>0</v>
      </c>
      <c r="S13" s="249">
        <f t="shared" si="25"/>
        <v>0</v>
      </c>
      <c r="T13" s="250">
        <f t="shared" si="25"/>
        <v>0</v>
      </c>
      <c r="U13" s="249">
        <f t="shared" si="25"/>
        <v>0</v>
      </c>
      <c r="V13" s="249">
        <f t="shared" si="25"/>
        <v>0</v>
      </c>
      <c r="W13" s="249">
        <f t="shared" si="25"/>
        <v>0</v>
      </c>
      <c r="X13" s="249">
        <f t="shared" si="25"/>
        <v>0</v>
      </c>
      <c r="Y13" s="249">
        <f t="shared" si="25"/>
        <v>0</v>
      </c>
      <c r="Z13" s="249">
        <f t="shared" si="25"/>
        <v>0</v>
      </c>
      <c r="AA13" s="249">
        <f t="shared" si="25"/>
        <v>0</v>
      </c>
      <c r="AB13" s="250">
        <f t="shared" si="25"/>
        <v>0</v>
      </c>
      <c r="AC13" s="249">
        <f t="shared" si="25"/>
        <v>0</v>
      </c>
      <c r="AD13" s="249">
        <f t="shared" si="25"/>
        <v>0</v>
      </c>
      <c r="AE13" s="249">
        <f t="shared" si="25"/>
        <v>0</v>
      </c>
      <c r="AF13" s="249">
        <f t="shared" si="25"/>
        <v>0</v>
      </c>
      <c r="AG13" s="249">
        <f t="shared" si="25"/>
        <v>0</v>
      </c>
      <c r="AH13" s="249">
        <f t="shared" si="25"/>
        <v>0</v>
      </c>
      <c r="AI13" s="249">
        <f t="shared" si="25"/>
        <v>0</v>
      </c>
      <c r="AJ13" s="250">
        <f t="shared" si="25"/>
        <v>0</v>
      </c>
      <c r="AK13" s="249">
        <f t="shared" si="25"/>
        <v>0</v>
      </c>
    </row>
    <row r="14" s="240" customFormat="1" ht="15" customHeight="1" spans="1:37">
      <c r="A14" s="251"/>
      <c r="B14" s="244"/>
      <c r="C14" s="249" t="s">
        <v>168</v>
      </c>
      <c r="D14" s="252">
        <f t="shared" ref="D14:AK14" si="26">D12/D11</f>
        <v>0.822916666666667</v>
      </c>
      <c r="E14" s="253">
        <f t="shared" si="26"/>
        <v>0.822916666666667</v>
      </c>
      <c r="F14" s="252">
        <f t="shared" si="26"/>
        <v>0.642857142857143</v>
      </c>
      <c r="G14" s="252">
        <f t="shared" si="26"/>
        <v>0.972222222222222</v>
      </c>
      <c r="H14" s="252">
        <f t="shared" si="26"/>
        <v>0.555555555555556</v>
      </c>
      <c r="I14" s="252">
        <f t="shared" si="26"/>
        <v>0.91304347826087</v>
      </c>
      <c r="J14" s="252" t="e">
        <f t="shared" si="26"/>
        <v>#DIV/0!</v>
      </c>
      <c r="K14" s="252" t="e">
        <f t="shared" si="26"/>
        <v>#DIV/0!</v>
      </c>
      <c r="L14" s="253" t="e">
        <f t="shared" si="26"/>
        <v>#DIV/0!</v>
      </c>
      <c r="M14" s="252" t="e">
        <f t="shared" si="26"/>
        <v>#DIV/0!</v>
      </c>
      <c r="N14" s="252" t="e">
        <f t="shared" si="26"/>
        <v>#DIV/0!</v>
      </c>
      <c r="O14" s="252" t="e">
        <f t="shared" si="26"/>
        <v>#DIV/0!</v>
      </c>
      <c r="P14" s="252" t="e">
        <f t="shared" si="26"/>
        <v>#DIV/0!</v>
      </c>
      <c r="Q14" s="252" t="e">
        <f t="shared" si="26"/>
        <v>#DIV/0!</v>
      </c>
      <c r="R14" s="252" t="e">
        <f t="shared" si="26"/>
        <v>#DIV/0!</v>
      </c>
      <c r="S14" s="252" t="e">
        <f t="shared" si="26"/>
        <v>#DIV/0!</v>
      </c>
      <c r="T14" s="253" t="e">
        <f t="shared" si="26"/>
        <v>#DIV/0!</v>
      </c>
      <c r="U14" s="252" t="e">
        <f t="shared" si="26"/>
        <v>#DIV/0!</v>
      </c>
      <c r="V14" s="252" t="e">
        <f t="shared" si="26"/>
        <v>#DIV/0!</v>
      </c>
      <c r="W14" s="252" t="e">
        <f t="shared" si="26"/>
        <v>#DIV/0!</v>
      </c>
      <c r="X14" s="252" t="e">
        <f t="shared" si="26"/>
        <v>#DIV/0!</v>
      </c>
      <c r="Y14" s="252" t="e">
        <f t="shared" si="26"/>
        <v>#DIV/0!</v>
      </c>
      <c r="Z14" s="252" t="e">
        <f t="shared" si="26"/>
        <v>#DIV/0!</v>
      </c>
      <c r="AA14" s="252" t="e">
        <f t="shared" si="26"/>
        <v>#DIV/0!</v>
      </c>
      <c r="AB14" s="253" t="e">
        <f t="shared" si="26"/>
        <v>#DIV/0!</v>
      </c>
      <c r="AC14" s="252" t="e">
        <f t="shared" si="26"/>
        <v>#DIV/0!</v>
      </c>
      <c r="AD14" s="252" t="e">
        <f t="shared" si="26"/>
        <v>#DIV/0!</v>
      </c>
      <c r="AE14" s="252" t="e">
        <f t="shared" si="26"/>
        <v>#DIV/0!</v>
      </c>
      <c r="AF14" s="252" t="e">
        <f t="shared" si="26"/>
        <v>#DIV/0!</v>
      </c>
      <c r="AG14" s="252" t="e">
        <f t="shared" si="26"/>
        <v>#DIV/0!</v>
      </c>
      <c r="AH14" s="252" t="e">
        <f t="shared" si="26"/>
        <v>#DIV/0!</v>
      </c>
      <c r="AI14" s="252" t="e">
        <f t="shared" si="26"/>
        <v>#DIV/0!</v>
      </c>
      <c r="AJ14" s="253" t="e">
        <f t="shared" si="26"/>
        <v>#DIV/0!</v>
      </c>
      <c r="AK14" s="267" t="e">
        <f t="shared" si="26"/>
        <v>#DIV/0!</v>
      </c>
    </row>
    <row r="15" s="240" customFormat="1" ht="15" customHeight="1" spans="1:37">
      <c r="A15" s="247"/>
      <c r="B15" s="248" t="s">
        <v>171</v>
      </c>
      <c r="C15" s="249" t="s">
        <v>165</v>
      </c>
      <c r="D15" s="249">
        <f t="shared" si="11"/>
        <v>33</v>
      </c>
      <c r="E15" s="250">
        <f t="shared" si="12"/>
        <v>33</v>
      </c>
      <c r="F15" s="249">
        <v>0</v>
      </c>
      <c r="G15" s="249">
        <v>16</v>
      </c>
      <c r="H15" s="249">
        <v>7</v>
      </c>
      <c r="I15" s="249">
        <v>10</v>
      </c>
      <c r="J15" s="249"/>
      <c r="K15" s="249"/>
      <c r="L15" s="250">
        <f t="shared" si="14"/>
        <v>0</v>
      </c>
      <c r="M15" s="249"/>
      <c r="N15" s="249"/>
      <c r="O15" s="249"/>
      <c r="P15" s="249"/>
      <c r="Q15" s="249"/>
      <c r="R15" s="249"/>
      <c r="S15" s="249"/>
      <c r="T15" s="250">
        <f t="shared" si="16"/>
        <v>0</v>
      </c>
      <c r="U15" s="249"/>
      <c r="V15" s="249"/>
      <c r="W15" s="249"/>
      <c r="X15" s="249"/>
      <c r="Y15" s="249"/>
      <c r="Z15" s="249"/>
      <c r="AA15" s="249"/>
      <c r="AB15" s="250">
        <f t="shared" si="18"/>
        <v>0</v>
      </c>
      <c r="AC15" s="249"/>
      <c r="AD15" s="249"/>
      <c r="AE15" s="249"/>
      <c r="AF15" s="249"/>
      <c r="AG15" s="249"/>
      <c r="AH15" s="249"/>
      <c r="AI15" s="249"/>
      <c r="AJ15" s="250">
        <f t="shared" si="20"/>
        <v>0</v>
      </c>
      <c r="AK15" s="266"/>
    </row>
    <row r="16" s="240" customFormat="1" ht="15" customHeight="1" spans="1:37">
      <c r="A16" s="251"/>
      <c r="B16" s="248"/>
      <c r="C16" s="249" t="s">
        <v>166</v>
      </c>
      <c r="D16" s="249">
        <f t="shared" si="11"/>
        <v>21</v>
      </c>
      <c r="E16" s="250">
        <f t="shared" si="12"/>
        <v>21</v>
      </c>
      <c r="F16" s="249">
        <v>0</v>
      </c>
      <c r="G16" s="249">
        <v>14</v>
      </c>
      <c r="H16" s="249">
        <v>3</v>
      </c>
      <c r="I16" s="249">
        <v>4</v>
      </c>
      <c r="J16" s="249"/>
      <c r="K16" s="249"/>
      <c r="L16" s="250">
        <f t="shared" si="14"/>
        <v>0</v>
      </c>
      <c r="M16" s="249"/>
      <c r="N16" s="249"/>
      <c r="O16" s="249"/>
      <c r="P16" s="249"/>
      <c r="Q16" s="249"/>
      <c r="R16" s="249"/>
      <c r="S16" s="249"/>
      <c r="T16" s="250">
        <f t="shared" si="16"/>
        <v>0</v>
      </c>
      <c r="U16" s="249"/>
      <c r="V16" s="249"/>
      <c r="W16" s="249"/>
      <c r="X16" s="249"/>
      <c r="Y16" s="249"/>
      <c r="Z16" s="249"/>
      <c r="AA16" s="249"/>
      <c r="AB16" s="250">
        <f t="shared" si="18"/>
        <v>0</v>
      </c>
      <c r="AC16" s="249"/>
      <c r="AD16" s="249"/>
      <c r="AE16" s="249"/>
      <c r="AF16" s="249"/>
      <c r="AG16" s="249"/>
      <c r="AH16" s="249"/>
      <c r="AI16" s="249"/>
      <c r="AJ16" s="250">
        <f t="shared" si="20"/>
        <v>0</v>
      </c>
      <c r="AK16" s="266"/>
    </row>
    <row r="17" s="240" customFormat="1" ht="22.05" customHeight="1" spans="1:37">
      <c r="A17" s="251"/>
      <c r="B17" s="248"/>
      <c r="C17" s="249" t="s">
        <v>167</v>
      </c>
      <c r="D17" s="249">
        <f t="shared" ref="D17:H17" si="27">D15-D16</f>
        <v>12</v>
      </c>
      <c r="E17" s="250">
        <f t="shared" si="27"/>
        <v>12</v>
      </c>
      <c r="F17" s="249">
        <f t="shared" si="27"/>
        <v>0</v>
      </c>
      <c r="G17" s="249">
        <f t="shared" si="27"/>
        <v>2</v>
      </c>
      <c r="H17" s="249">
        <f t="shared" si="27"/>
        <v>4</v>
      </c>
      <c r="I17" s="249">
        <v>0</v>
      </c>
      <c r="J17" s="249">
        <v>0</v>
      </c>
      <c r="K17" s="249">
        <v>0</v>
      </c>
      <c r="L17" s="250">
        <f t="shared" ref="L17:AK17" si="28">L15-L16</f>
        <v>0</v>
      </c>
      <c r="M17" s="249">
        <f t="shared" si="28"/>
        <v>0</v>
      </c>
      <c r="N17" s="249">
        <f t="shared" si="28"/>
        <v>0</v>
      </c>
      <c r="O17" s="249">
        <f t="shared" si="28"/>
        <v>0</v>
      </c>
      <c r="P17" s="249">
        <f t="shared" si="28"/>
        <v>0</v>
      </c>
      <c r="Q17" s="249">
        <f t="shared" si="28"/>
        <v>0</v>
      </c>
      <c r="R17" s="249">
        <f t="shared" si="28"/>
        <v>0</v>
      </c>
      <c r="S17" s="249">
        <f t="shared" si="28"/>
        <v>0</v>
      </c>
      <c r="T17" s="250">
        <f t="shared" si="28"/>
        <v>0</v>
      </c>
      <c r="U17" s="249">
        <f t="shared" si="28"/>
        <v>0</v>
      </c>
      <c r="V17" s="249">
        <f t="shared" si="28"/>
        <v>0</v>
      </c>
      <c r="W17" s="249">
        <f t="shared" si="28"/>
        <v>0</v>
      </c>
      <c r="X17" s="249">
        <f t="shared" si="28"/>
        <v>0</v>
      </c>
      <c r="Y17" s="249">
        <f t="shared" si="28"/>
        <v>0</v>
      </c>
      <c r="Z17" s="249">
        <f t="shared" si="28"/>
        <v>0</v>
      </c>
      <c r="AA17" s="249">
        <f t="shared" si="28"/>
        <v>0</v>
      </c>
      <c r="AB17" s="250">
        <f t="shared" si="28"/>
        <v>0</v>
      </c>
      <c r="AC17" s="249">
        <f t="shared" si="28"/>
        <v>0</v>
      </c>
      <c r="AD17" s="249">
        <f t="shared" si="28"/>
        <v>0</v>
      </c>
      <c r="AE17" s="249">
        <f t="shared" si="28"/>
        <v>0</v>
      </c>
      <c r="AF17" s="249">
        <f t="shared" si="28"/>
        <v>0</v>
      </c>
      <c r="AG17" s="249">
        <f t="shared" si="28"/>
        <v>0</v>
      </c>
      <c r="AH17" s="249">
        <f t="shared" si="28"/>
        <v>0</v>
      </c>
      <c r="AI17" s="249">
        <f t="shared" si="28"/>
        <v>0</v>
      </c>
      <c r="AJ17" s="250">
        <f t="shared" si="28"/>
        <v>0</v>
      </c>
      <c r="AK17" s="266">
        <f t="shared" si="28"/>
        <v>0</v>
      </c>
    </row>
    <row r="18" s="240" customFormat="1" ht="15" customHeight="1" spans="1:37">
      <c r="A18" s="251"/>
      <c r="B18" s="248"/>
      <c r="C18" s="249" t="s">
        <v>168</v>
      </c>
      <c r="D18" s="252">
        <f t="shared" ref="D18:AK18" si="29">D16/D15</f>
        <v>0.636363636363636</v>
      </c>
      <c r="E18" s="253">
        <f t="shared" si="29"/>
        <v>0.636363636363636</v>
      </c>
      <c r="F18" s="252" t="e">
        <f t="shared" si="29"/>
        <v>#DIV/0!</v>
      </c>
      <c r="G18" s="252">
        <f t="shared" si="29"/>
        <v>0.875</v>
      </c>
      <c r="H18" s="252">
        <f t="shared" si="29"/>
        <v>0.428571428571429</v>
      </c>
      <c r="I18" s="252">
        <f t="shared" si="29"/>
        <v>0.4</v>
      </c>
      <c r="J18" s="252" t="e">
        <f t="shared" si="29"/>
        <v>#DIV/0!</v>
      </c>
      <c r="K18" s="252" t="e">
        <f t="shared" si="29"/>
        <v>#DIV/0!</v>
      </c>
      <c r="L18" s="253" t="e">
        <f t="shared" si="29"/>
        <v>#DIV/0!</v>
      </c>
      <c r="M18" s="252" t="e">
        <f t="shared" si="29"/>
        <v>#DIV/0!</v>
      </c>
      <c r="N18" s="252" t="e">
        <f t="shared" si="29"/>
        <v>#DIV/0!</v>
      </c>
      <c r="O18" s="252" t="e">
        <f t="shared" si="29"/>
        <v>#DIV/0!</v>
      </c>
      <c r="P18" s="252" t="e">
        <f t="shared" si="29"/>
        <v>#DIV/0!</v>
      </c>
      <c r="Q18" s="252" t="e">
        <f t="shared" si="29"/>
        <v>#DIV/0!</v>
      </c>
      <c r="R18" s="252" t="e">
        <f t="shared" si="29"/>
        <v>#DIV/0!</v>
      </c>
      <c r="S18" s="252" t="e">
        <f t="shared" si="29"/>
        <v>#DIV/0!</v>
      </c>
      <c r="T18" s="253" t="e">
        <f t="shared" si="29"/>
        <v>#DIV/0!</v>
      </c>
      <c r="U18" s="252" t="e">
        <f t="shared" si="29"/>
        <v>#DIV/0!</v>
      </c>
      <c r="V18" s="252" t="e">
        <f t="shared" si="29"/>
        <v>#DIV/0!</v>
      </c>
      <c r="W18" s="252" t="e">
        <f t="shared" si="29"/>
        <v>#DIV/0!</v>
      </c>
      <c r="X18" s="252" t="e">
        <f t="shared" si="29"/>
        <v>#DIV/0!</v>
      </c>
      <c r="Y18" s="252" t="e">
        <f t="shared" si="29"/>
        <v>#DIV/0!</v>
      </c>
      <c r="Z18" s="252" t="e">
        <f t="shared" si="29"/>
        <v>#DIV/0!</v>
      </c>
      <c r="AA18" s="252" t="e">
        <f t="shared" si="29"/>
        <v>#DIV/0!</v>
      </c>
      <c r="AB18" s="253" t="e">
        <f t="shared" si="29"/>
        <v>#DIV/0!</v>
      </c>
      <c r="AC18" s="252" t="e">
        <f t="shared" si="29"/>
        <v>#DIV/0!</v>
      </c>
      <c r="AD18" s="252" t="e">
        <f t="shared" si="29"/>
        <v>#DIV/0!</v>
      </c>
      <c r="AE18" s="252" t="e">
        <f t="shared" si="29"/>
        <v>#DIV/0!</v>
      </c>
      <c r="AF18" s="252" t="e">
        <f t="shared" si="29"/>
        <v>#DIV/0!</v>
      </c>
      <c r="AG18" s="252" t="e">
        <f t="shared" si="29"/>
        <v>#DIV/0!</v>
      </c>
      <c r="AH18" s="252" t="e">
        <f t="shared" si="29"/>
        <v>#DIV/0!</v>
      </c>
      <c r="AI18" s="252" t="e">
        <f t="shared" si="29"/>
        <v>#DIV/0!</v>
      </c>
      <c r="AJ18" s="253" t="e">
        <f t="shared" si="29"/>
        <v>#DIV/0!</v>
      </c>
      <c r="AK18" s="267" t="e">
        <f t="shared" si="29"/>
        <v>#DIV/0!</v>
      </c>
    </row>
    <row r="19" s="240" customFormat="1" ht="15" customHeight="1" spans="1:37">
      <c r="A19" s="251"/>
      <c r="B19" s="248" t="s">
        <v>172</v>
      </c>
      <c r="C19" s="249" t="s">
        <v>165</v>
      </c>
      <c r="D19" s="249">
        <f t="shared" ref="D19:D24" si="30">E19+L19+T19+AB19</f>
        <v>29</v>
      </c>
      <c r="E19" s="250">
        <f t="shared" ref="E19:E24" si="31">SUM(F19:K19)</f>
        <v>29</v>
      </c>
      <c r="F19" s="249">
        <v>0</v>
      </c>
      <c r="G19" s="249">
        <v>0</v>
      </c>
      <c r="H19" s="249">
        <v>1</v>
      </c>
      <c r="I19" s="249">
        <v>28</v>
      </c>
      <c r="J19" s="249"/>
      <c r="K19" s="249"/>
      <c r="L19" s="250">
        <f t="shared" ref="L19:L24" si="32">SUM(M19:S19)</f>
        <v>0</v>
      </c>
      <c r="M19" s="249"/>
      <c r="N19" s="249"/>
      <c r="O19" s="249"/>
      <c r="P19" s="249"/>
      <c r="Q19" s="249"/>
      <c r="R19" s="249"/>
      <c r="S19" s="249"/>
      <c r="T19" s="250">
        <f t="shared" ref="T19:T24" si="33">SUM(U19:AA19)</f>
        <v>0</v>
      </c>
      <c r="U19" s="249"/>
      <c r="V19" s="249"/>
      <c r="W19" s="249"/>
      <c r="X19" s="249"/>
      <c r="Y19" s="249"/>
      <c r="Z19" s="249"/>
      <c r="AA19" s="249"/>
      <c r="AB19" s="250">
        <f t="shared" ref="AB19:AB24" si="34">SUM(AC19:AI19)</f>
        <v>0</v>
      </c>
      <c r="AC19" s="249"/>
      <c r="AD19" s="249"/>
      <c r="AE19" s="249"/>
      <c r="AF19" s="249"/>
      <c r="AG19" s="249"/>
      <c r="AH19" s="249"/>
      <c r="AI19" s="249"/>
      <c r="AJ19" s="250">
        <f t="shared" ref="AJ19:AJ24" si="35">SUM(AK19:AQ19)</f>
        <v>0</v>
      </c>
      <c r="AK19" s="266"/>
    </row>
    <row r="20" s="240" customFormat="1" ht="15" customHeight="1" spans="1:37">
      <c r="A20" s="251"/>
      <c r="B20" s="248"/>
      <c r="C20" s="249" t="s">
        <v>166</v>
      </c>
      <c r="D20" s="249">
        <f t="shared" si="30"/>
        <v>29</v>
      </c>
      <c r="E20" s="250">
        <f t="shared" si="31"/>
        <v>29</v>
      </c>
      <c r="F20" s="249">
        <v>0</v>
      </c>
      <c r="G20" s="249">
        <v>0</v>
      </c>
      <c r="H20" s="249">
        <v>1</v>
      </c>
      <c r="I20" s="249">
        <v>28</v>
      </c>
      <c r="J20" s="249"/>
      <c r="K20" s="249"/>
      <c r="L20" s="250">
        <f t="shared" si="32"/>
        <v>0</v>
      </c>
      <c r="M20" s="249"/>
      <c r="N20" s="249"/>
      <c r="O20" s="249"/>
      <c r="P20" s="249"/>
      <c r="Q20" s="249"/>
      <c r="R20" s="249"/>
      <c r="S20" s="249"/>
      <c r="T20" s="250">
        <f t="shared" si="33"/>
        <v>0</v>
      </c>
      <c r="U20" s="249"/>
      <c r="V20" s="249"/>
      <c r="W20" s="249"/>
      <c r="X20" s="249"/>
      <c r="Y20" s="249"/>
      <c r="Z20" s="249"/>
      <c r="AA20" s="249"/>
      <c r="AB20" s="250">
        <f t="shared" si="34"/>
        <v>0</v>
      </c>
      <c r="AC20" s="249"/>
      <c r="AD20" s="249"/>
      <c r="AE20" s="249"/>
      <c r="AF20" s="249"/>
      <c r="AG20" s="249"/>
      <c r="AH20" s="249"/>
      <c r="AI20" s="249"/>
      <c r="AJ20" s="250">
        <f t="shared" si="35"/>
        <v>0</v>
      </c>
      <c r="AK20" s="266"/>
    </row>
    <row r="21" s="240" customFormat="1" ht="15" customHeight="1" spans="1:37">
      <c r="A21" s="251"/>
      <c r="B21" s="248"/>
      <c r="C21" s="249" t="s">
        <v>167</v>
      </c>
      <c r="D21" s="249">
        <f t="shared" ref="D21:H21" si="36">D19-D20</f>
        <v>0</v>
      </c>
      <c r="E21" s="250">
        <f t="shared" si="36"/>
        <v>0</v>
      </c>
      <c r="F21" s="249">
        <f t="shared" si="36"/>
        <v>0</v>
      </c>
      <c r="G21" s="249">
        <f t="shared" si="36"/>
        <v>0</v>
      </c>
      <c r="H21" s="249">
        <f t="shared" si="36"/>
        <v>0</v>
      </c>
      <c r="I21" s="249">
        <v>0</v>
      </c>
      <c r="J21" s="249">
        <v>0</v>
      </c>
      <c r="K21" s="249">
        <v>0</v>
      </c>
      <c r="L21" s="250">
        <f t="shared" ref="L21:AK21" si="37">L19-L20</f>
        <v>0</v>
      </c>
      <c r="M21" s="249">
        <f t="shared" si="37"/>
        <v>0</v>
      </c>
      <c r="N21" s="249">
        <f t="shared" si="37"/>
        <v>0</v>
      </c>
      <c r="O21" s="249">
        <f t="shared" si="37"/>
        <v>0</v>
      </c>
      <c r="P21" s="249">
        <f t="shared" si="37"/>
        <v>0</v>
      </c>
      <c r="Q21" s="249">
        <f t="shared" si="37"/>
        <v>0</v>
      </c>
      <c r="R21" s="249">
        <f t="shared" si="37"/>
        <v>0</v>
      </c>
      <c r="S21" s="249">
        <f t="shared" si="37"/>
        <v>0</v>
      </c>
      <c r="T21" s="250">
        <f t="shared" si="37"/>
        <v>0</v>
      </c>
      <c r="U21" s="249">
        <f t="shared" si="37"/>
        <v>0</v>
      </c>
      <c r="V21" s="249">
        <f t="shared" si="37"/>
        <v>0</v>
      </c>
      <c r="W21" s="249">
        <f t="shared" si="37"/>
        <v>0</v>
      </c>
      <c r="X21" s="249">
        <f t="shared" si="37"/>
        <v>0</v>
      </c>
      <c r="Y21" s="249">
        <f t="shared" si="37"/>
        <v>0</v>
      </c>
      <c r="Z21" s="249">
        <f t="shared" si="37"/>
        <v>0</v>
      </c>
      <c r="AA21" s="249">
        <f t="shared" si="37"/>
        <v>0</v>
      </c>
      <c r="AB21" s="250">
        <f t="shared" si="37"/>
        <v>0</v>
      </c>
      <c r="AC21" s="249">
        <f t="shared" si="37"/>
        <v>0</v>
      </c>
      <c r="AD21" s="249">
        <f t="shared" si="37"/>
        <v>0</v>
      </c>
      <c r="AE21" s="249">
        <f t="shared" si="37"/>
        <v>0</v>
      </c>
      <c r="AF21" s="249">
        <f t="shared" si="37"/>
        <v>0</v>
      </c>
      <c r="AG21" s="249">
        <f t="shared" si="37"/>
        <v>0</v>
      </c>
      <c r="AH21" s="249">
        <f t="shared" si="37"/>
        <v>0</v>
      </c>
      <c r="AI21" s="249">
        <f t="shared" si="37"/>
        <v>0</v>
      </c>
      <c r="AJ21" s="250">
        <f t="shared" si="37"/>
        <v>0</v>
      </c>
      <c r="AK21" s="266">
        <f t="shared" si="37"/>
        <v>0</v>
      </c>
    </row>
    <row r="22" s="240" customFormat="1" ht="15" customHeight="1" spans="1:37">
      <c r="A22" s="251"/>
      <c r="B22" s="248"/>
      <c r="C22" s="249" t="s">
        <v>168</v>
      </c>
      <c r="D22" s="252">
        <f t="shared" ref="D22:AK22" si="38">D20/D19</f>
        <v>1</v>
      </c>
      <c r="E22" s="253">
        <f t="shared" si="38"/>
        <v>1</v>
      </c>
      <c r="F22" s="252" t="e">
        <f t="shared" si="38"/>
        <v>#DIV/0!</v>
      </c>
      <c r="G22" s="252" t="e">
        <f t="shared" si="38"/>
        <v>#DIV/0!</v>
      </c>
      <c r="H22" s="252">
        <f t="shared" si="38"/>
        <v>1</v>
      </c>
      <c r="I22" s="252">
        <f t="shared" si="38"/>
        <v>1</v>
      </c>
      <c r="J22" s="252" t="e">
        <f t="shared" si="38"/>
        <v>#DIV/0!</v>
      </c>
      <c r="K22" s="252" t="e">
        <f t="shared" si="38"/>
        <v>#DIV/0!</v>
      </c>
      <c r="L22" s="253" t="e">
        <f t="shared" si="38"/>
        <v>#DIV/0!</v>
      </c>
      <c r="M22" s="252" t="e">
        <f t="shared" si="38"/>
        <v>#DIV/0!</v>
      </c>
      <c r="N22" s="252" t="e">
        <f t="shared" si="38"/>
        <v>#DIV/0!</v>
      </c>
      <c r="O22" s="252" t="e">
        <f t="shared" si="38"/>
        <v>#DIV/0!</v>
      </c>
      <c r="P22" s="252" t="e">
        <f t="shared" si="38"/>
        <v>#DIV/0!</v>
      </c>
      <c r="Q22" s="252" t="e">
        <f t="shared" si="38"/>
        <v>#DIV/0!</v>
      </c>
      <c r="R22" s="252" t="e">
        <f t="shared" si="38"/>
        <v>#DIV/0!</v>
      </c>
      <c r="S22" s="252" t="e">
        <f t="shared" si="38"/>
        <v>#DIV/0!</v>
      </c>
      <c r="T22" s="253" t="e">
        <f t="shared" si="38"/>
        <v>#DIV/0!</v>
      </c>
      <c r="U22" s="252" t="e">
        <f t="shared" si="38"/>
        <v>#DIV/0!</v>
      </c>
      <c r="V22" s="252" t="e">
        <f t="shared" si="38"/>
        <v>#DIV/0!</v>
      </c>
      <c r="W22" s="252" t="e">
        <f t="shared" si="38"/>
        <v>#DIV/0!</v>
      </c>
      <c r="X22" s="252" t="e">
        <f t="shared" si="38"/>
        <v>#DIV/0!</v>
      </c>
      <c r="Y22" s="252" t="e">
        <f t="shared" si="38"/>
        <v>#DIV/0!</v>
      </c>
      <c r="Z22" s="252" t="e">
        <f t="shared" si="38"/>
        <v>#DIV/0!</v>
      </c>
      <c r="AA22" s="252" t="e">
        <f t="shared" si="38"/>
        <v>#DIV/0!</v>
      </c>
      <c r="AB22" s="253" t="e">
        <f t="shared" si="38"/>
        <v>#DIV/0!</v>
      </c>
      <c r="AC22" s="252" t="e">
        <f t="shared" si="38"/>
        <v>#DIV/0!</v>
      </c>
      <c r="AD22" s="252" t="e">
        <f t="shared" si="38"/>
        <v>#DIV/0!</v>
      </c>
      <c r="AE22" s="252" t="e">
        <f t="shared" si="38"/>
        <v>#DIV/0!</v>
      </c>
      <c r="AF22" s="252" t="e">
        <f t="shared" si="38"/>
        <v>#DIV/0!</v>
      </c>
      <c r="AG22" s="252" t="e">
        <f t="shared" si="38"/>
        <v>#DIV/0!</v>
      </c>
      <c r="AH22" s="252" t="e">
        <f t="shared" si="38"/>
        <v>#DIV/0!</v>
      </c>
      <c r="AI22" s="252" t="e">
        <f t="shared" si="38"/>
        <v>#DIV/0!</v>
      </c>
      <c r="AJ22" s="253" t="e">
        <f t="shared" si="38"/>
        <v>#DIV/0!</v>
      </c>
      <c r="AK22" s="267" t="e">
        <f t="shared" si="38"/>
        <v>#DIV/0!</v>
      </c>
    </row>
    <row r="23" s="240" customFormat="1" ht="15" customHeight="1" spans="1:37">
      <c r="A23" s="251"/>
      <c r="B23" s="244" t="s">
        <v>173</v>
      </c>
      <c r="C23" s="249" t="s">
        <v>165</v>
      </c>
      <c r="D23" s="249">
        <f t="shared" si="30"/>
        <v>62</v>
      </c>
      <c r="E23" s="250">
        <f t="shared" si="31"/>
        <v>62</v>
      </c>
      <c r="F23" s="249">
        <f t="shared" ref="F23:K23" si="39">+F19+F15</f>
        <v>0</v>
      </c>
      <c r="G23" s="249">
        <f t="shared" si="39"/>
        <v>16</v>
      </c>
      <c r="H23" s="249">
        <f t="shared" si="39"/>
        <v>8</v>
      </c>
      <c r="I23" s="249">
        <f t="shared" si="39"/>
        <v>38</v>
      </c>
      <c r="J23" s="249">
        <f t="shared" si="39"/>
        <v>0</v>
      </c>
      <c r="K23" s="249">
        <f t="shared" si="39"/>
        <v>0</v>
      </c>
      <c r="L23" s="250">
        <f t="shared" si="32"/>
        <v>0</v>
      </c>
      <c r="M23" s="249">
        <f t="shared" ref="M23:S23" si="40">+M19+M15</f>
        <v>0</v>
      </c>
      <c r="N23" s="249">
        <f t="shared" si="40"/>
        <v>0</v>
      </c>
      <c r="O23" s="249">
        <f t="shared" si="40"/>
        <v>0</v>
      </c>
      <c r="P23" s="249">
        <f t="shared" si="40"/>
        <v>0</v>
      </c>
      <c r="Q23" s="249">
        <f t="shared" si="40"/>
        <v>0</v>
      </c>
      <c r="R23" s="249">
        <f t="shared" si="40"/>
        <v>0</v>
      </c>
      <c r="S23" s="249">
        <f t="shared" si="40"/>
        <v>0</v>
      </c>
      <c r="T23" s="250">
        <f t="shared" si="33"/>
        <v>0</v>
      </c>
      <c r="U23" s="249">
        <f t="shared" ref="U23:AA23" si="41">+U19+U15</f>
        <v>0</v>
      </c>
      <c r="V23" s="249">
        <f t="shared" si="41"/>
        <v>0</v>
      </c>
      <c r="W23" s="249">
        <f t="shared" si="41"/>
        <v>0</v>
      </c>
      <c r="X23" s="249">
        <f t="shared" si="41"/>
        <v>0</v>
      </c>
      <c r="Y23" s="249">
        <f t="shared" si="41"/>
        <v>0</v>
      </c>
      <c r="Z23" s="249">
        <f t="shared" si="41"/>
        <v>0</v>
      </c>
      <c r="AA23" s="249">
        <f t="shared" si="41"/>
        <v>0</v>
      </c>
      <c r="AB23" s="250">
        <f t="shared" si="34"/>
        <v>0</v>
      </c>
      <c r="AC23" s="249">
        <f t="shared" ref="AC23:AI23" si="42">+AC19+AC15</f>
        <v>0</v>
      </c>
      <c r="AD23" s="249">
        <f t="shared" si="42"/>
        <v>0</v>
      </c>
      <c r="AE23" s="249">
        <f t="shared" si="42"/>
        <v>0</v>
      </c>
      <c r="AF23" s="249">
        <f t="shared" si="42"/>
        <v>0</v>
      </c>
      <c r="AG23" s="249">
        <f t="shared" si="42"/>
        <v>0</v>
      </c>
      <c r="AH23" s="249">
        <f t="shared" si="42"/>
        <v>0</v>
      </c>
      <c r="AI23" s="249">
        <f t="shared" si="42"/>
        <v>0</v>
      </c>
      <c r="AJ23" s="250">
        <f t="shared" si="35"/>
        <v>0</v>
      </c>
      <c r="AK23" s="249">
        <f>+AK19+AK15</f>
        <v>0</v>
      </c>
    </row>
    <row r="24" s="240" customFormat="1" ht="15" customHeight="1" spans="1:37">
      <c r="A24" s="251"/>
      <c r="B24" s="244"/>
      <c r="C24" s="249" t="s">
        <v>166</v>
      </c>
      <c r="D24" s="249">
        <f t="shared" si="30"/>
        <v>50</v>
      </c>
      <c r="E24" s="250">
        <f t="shared" si="31"/>
        <v>50</v>
      </c>
      <c r="F24" s="249">
        <f t="shared" ref="F24:K24" si="43">+F20+F16</f>
        <v>0</v>
      </c>
      <c r="G24" s="249">
        <f t="shared" si="43"/>
        <v>14</v>
      </c>
      <c r="H24" s="249">
        <f t="shared" si="43"/>
        <v>4</v>
      </c>
      <c r="I24" s="249">
        <f t="shared" si="43"/>
        <v>32</v>
      </c>
      <c r="J24" s="249">
        <f t="shared" si="43"/>
        <v>0</v>
      </c>
      <c r="K24" s="249">
        <f t="shared" si="43"/>
        <v>0</v>
      </c>
      <c r="L24" s="250">
        <f t="shared" si="32"/>
        <v>0</v>
      </c>
      <c r="M24" s="249">
        <f t="shared" ref="M24:S24" si="44">+M20+M16</f>
        <v>0</v>
      </c>
      <c r="N24" s="249">
        <f t="shared" si="44"/>
        <v>0</v>
      </c>
      <c r="O24" s="249">
        <f t="shared" si="44"/>
        <v>0</v>
      </c>
      <c r="P24" s="249">
        <f t="shared" si="44"/>
        <v>0</v>
      </c>
      <c r="Q24" s="249">
        <f t="shared" si="44"/>
        <v>0</v>
      </c>
      <c r="R24" s="249">
        <f t="shared" si="44"/>
        <v>0</v>
      </c>
      <c r="S24" s="249">
        <f t="shared" si="44"/>
        <v>0</v>
      </c>
      <c r="T24" s="250">
        <f t="shared" si="33"/>
        <v>0</v>
      </c>
      <c r="U24" s="249">
        <f t="shared" ref="U24:AA24" si="45">+U20+U16</f>
        <v>0</v>
      </c>
      <c r="V24" s="249">
        <f t="shared" si="45"/>
        <v>0</v>
      </c>
      <c r="W24" s="249">
        <f t="shared" si="45"/>
        <v>0</v>
      </c>
      <c r="X24" s="249">
        <f t="shared" si="45"/>
        <v>0</v>
      </c>
      <c r="Y24" s="249">
        <f t="shared" si="45"/>
        <v>0</v>
      </c>
      <c r="Z24" s="249">
        <f t="shared" si="45"/>
        <v>0</v>
      </c>
      <c r="AA24" s="249">
        <f t="shared" si="45"/>
        <v>0</v>
      </c>
      <c r="AB24" s="250">
        <f t="shared" si="34"/>
        <v>0</v>
      </c>
      <c r="AC24" s="249">
        <f t="shared" ref="AC24:AI24" si="46">+AC20+AC16</f>
        <v>0</v>
      </c>
      <c r="AD24" s="249">
        <f t="shared" si="46"/>
        <v>0</v>
      </c>
      <c r="AE24" s="249">
        <f t="shared" si="46"/>
        <v>0</v>
      </c>
      <c r="AF24" s="249">
        <f t="shared" si="46"/>
        <v>0</v>
      </c>
      <c r="AG24" s="249">
        <f t="shared" si="46"/>
        <v>0</v>
      </c>
      <c r="AH24" s="249">
        <f t="shared" si="46"/>
        <v>0</v>
      </c>
      <c r="AI24" s="249">
        <f t="shared" si="46"/>
        <v>0</v>
      </c>
      <c r="AJ24" s="250">
        <f t="shared" si="35"/>
        <v>0</v>
      </c>
      <c r="AK24" s="249">
        <f>+AK20+AK16</f>
        <v>0</v>
      </c>
    </row>
    <row r="25" s="240" customFormat="1" ht="15" customHeight="1" spans="1:37">
      <c r="A25" s="251"/>
      <c r="B25" s="244"/>
      <c r="C25" s="249" t="s">
        <v>167</v>
      </c>
      <c r="D25" s="249">
        <f t="shared" ref="D25:H25" si="47">D23-D24</f>
        <v>12</v>
      </c>
      <c r="E25" s="250">
        <f t="shared" si="47"/>
        <v>12</v>
      </c>
      <c r="F25" s="249">
        <f t="shared" si="47"/>
        <v>0</v>
      </c>
      <c r="G25" s="249">
        <f t="shared" si="47"/>
        <v>2</v>
      </c>
      <c r="H25" s="249">
        <f t="shared" si="47"/>
        <v>4</v>
      </c>
      <c r="I25" s="249">
        <v>0</v>
      </c>
      <c r="J25" s="249">
        <v>0</v>
      </c>
      <c r="K25" s="249">
        <v>0</v>
      </c>
      <c r="L25" s="250">
        <f t="shared" ref="L25:O25" si="48">L23-L24</f>
        <v>0</v>
      </c>
      <c r="M25" s="249">
        <f t="shared" si="48"/>
        <v>0</v>
      </c>
      <c r="N25" s="249">
        <f t="shared" si="48"/>
        <v>0</v>
      </c>
      <c r="O25" s="249">
        <f t="shared" si="48"/>
        <v>0</v>
      </c>
      <c r="P25" s="249">
        <v>0</v>
      </c>
      <c r="Q25" s="249">
        <v>0</v>
      </c>
      <c r="R25" s="249">
        <v>0</v>
      </c>
      <c r="S25" s="249">
        <v>0</v>
      </c>
      <c r="T25" s="250">
        <f t="shared" ref="T25:W25" si="49">T23-T24</f>
        <v>0</v>
      </c>
      <c r="U25" s="249">
        <f t="shared" si="49"/>
        <v>0</v>
      </c>
      <c r="V25" s="249">
        <f t="shared" si="49"/>
        <v>0</v>
      </c>
      <c r="W25" s="249">
        <f t="shared" si="49"/>
        <v>0</v>
      </c>
      <c r="X25" s="249">
        <v>0</v>
      </c>
      <c r="Y25" s="249">
        <v>0</v>
      </c>
      <c r="Z25" s="249">
        <v>0</v>
      </c>
      <c r="AA25" s="249">
        <v>0</v>
      </c>
      <c r="AB25" s="250">
        <f t="shared" ref="AB25:AE25" si="50">AB23-AB24</f>
        <v>0</v>
      </c>
      <c r="AC25" s="249">
        <f t="shared" si="50"/>
        <v>0</v>
      </c>
      <c r="AD25" s="249">
        <f t="shared" si="50"/>
        <v>0</v>
      </c>
      <c r="AE25" s="249">
        <f t="shared" si="50"/>
        <v>0</v>
      </c>
      <c r="AF25" s="249">
        <v>0</v>
      </c>
      <c r="AG25" s="249">
        <v>0</v>
      </c>
      <c r="AH25" s="249">
        <v>0</v>
      </c>
      <c r="AI25" s="249">
        <v>0</v>
      </c>
      <c r="AJ25" s="250">
        <f>AJ23-AJ24</f>
        <v>0</v>
      </c>
      <c r="AK25" s="249">
        <v>0</v>
      </c>
    </row>
    <row r="26" s="240" customFormat="1" ht="15" customHeight="1" spans="1:37">
      <c r="A26" s="251"/>
      <c r="B26" s="244"/>
      <c r="C26" s="249" t="s">
        <v>168</v>
      </c>
      <c r="D26" s="252">
        <f t="shared" ref="D26:AK26" si="51">D24/D23</f>
        <v>0.806451612903226</v>
      </c>
      <c r="E26" s="253">
        <f t="shared" si="51"/>
        <v>0.806451612903226</v>
      </c>
      <c r="F26" s="252" t="e">
        <f t="shared" si="51"/>
        <v>#DIV/0!</v>
      </c>
      <c r="G26" s="252">
        <f t="shared" si="51"/>
        <v>0.875</v>
      </c>
      <c r="H26" s="252">
        <f t="shared" si="51"/>
        <v>0.5</v>
      </c>
      <c r="I26" s="252">
        <f t="shared" si="51"/>
        <v>0.842105263157895</v>
      </c>
      <c r="J26" s="252" t="e">
        <f t="shared" si="51"/>
        <v>#DIV/0!</v>
      </c>
      <c r="K26" s="252" t="e">
        <f t="shared" si="51"/>
        <v>#DIV/0!</v>
      </c>
      <c r="L26" s="253" t="e">
        <f t="shared" si="51"/>
        <v>#DIV/0!</v>
      </c>
      <c r="M26" s="252" t="e">
        <f t="shared" si="51"/>
        <v>#DIV/0!</v>
      </c>
      <c r="N26" s="252" t="e">
        <f t="shared" si="51"/>
        <v>#DIV/0!</v>
      </c>
      <c r="O26" s="252" t="e">
        <f t="shared" si="51"/>
        <v>#DIV/0!</v>
      </c>
      <c r="P26" s="252" t="e">
        <f t="shared" si="51"/>
        <v>#DIV/0!</v>
      </c>
      <c r="Q26" s="252" t="e">
        <f t="shared" si="51"/>
        <v>#DIV/0!</v>
      </c>
      <c r="R26" s="252" t="e">
        <f t="shared" si="51"/>
        <v>#DIV/0!</v>
      </c>
      <c r="S26" s="252" t="e">
        <f t="shared" si="51"/>
        <v>#DIV/0!</v>
      </c>
      <c r="T26" s="253" t="e">
        <f t="shared" si="51"/>
        <v>#DIV/0!</v>
      </c>
      <c r="U26" s="252" t="e">
        <f t="shared" si="51"/>
        <v>#DIV/0!</v>
      </c>
      <c r="V26" s="252" t="e">
        <f t="shared" si="51"/>
        <v>#DIV/0!</v>
      </c>
      <c r="W26" s="252" t="e">
        <f t="shared" si="51"/>
        <v>#DIV/0!</v>
      </c>
      <c r="X26" s="252" t="e">
        <f t="shared" si="51"/>
        <v>#DIV/0!</v>
      </c>
      <c r="Y26" s="252" t="e">
        <f t="shared" si="51"/>
        <v>#DIV/0!</v>
      </c>
      <c r="Z26" s="252" t="e">
        <f t="shared" si="51"/>
        <v>#DIV/0!</v>
      </c>
      <c r="AA26" s="252" t="e">
        <f t="shared" si="51"/>
        <v>#DIV/0!</v>
      </c>
      <c r="AB26" s="253" t="e">
        <f t="shared" si="51"/>
        <v>#DIV/0!</v>
      </c>
      <c r="AC26" s="252" t="e">
        <f t="shared" si="51"/>
        <v>#DIV/0!</v>
      </c>
      <c r="AD26" s="252" t="e">
        <f t="shared" si="51"/>
        <v>#DIV/0!</v>
      </c>
      <c r="AE26" s="252" t="e">
        <f t="shared" si="51"/>
        <v>#DIV/0!</v>
      </c>
      <c r="AF26" s="252" t="e">
        <f t="shared" si="51"/>
        <v>#DIV/0!</v>
      </c>
      <c r="AG26" s="252" t="e">
        <f t="shared" si="51"/>
        <v>#DIV/0!</v>
      </c>
      <c r="AH26" s="252" t="e">
        <f t="shared" si="51"/>
        <v>#DIV/0!</v>
      </c>
      <c r="AI26" s="252" t="e">
        <f t="shared" si="51"/>
        <v>#DIV/0!</v>
      </c>
      <c r="AJ26" s="253" t="e">
        <f t="shared" si="51"/>
        <v>#DIV/0!</v>
      </c>
      <c r="AK26" s="267" t="e">
        <f t="shared" si="51"/>
        <v>#DIV/0!</v>
      </c>
    </row>
    <row r="27" s="240" customFormat="1" ht="15" customHeight="1" spans="1:37">
      <c r="A27" s="251"/>
      <c r="B27" s="254" t="s">
        <v>174</v>
      </c>
      <c r="C27" s="250" t="s">
        <v>165</v>
      </c>
      <c r="D27" s="250">
        <f t="shared" ref="D27:D32" si="52">E27+L27+T27+AB27</f>
        <v>158</v>
      </c>
      <c r="E27" s="250">
        <f t="shared" ref="E27:E32" si="53">SUM(F27:K27)</f>
        <v>158</v>
      </c>
      <c r="F27" s="250">
        <f t="shared" ref="F27:K27" si="54">+F23+F11</f>
        <v>28</v>
      </c>
      <c r="G27" s="250">
        <f t="shared" si="54"/>
        <v>52</v>
      </c>
      <c r="H27" s="250">
        <f t="shared" si="54"/>
        <v>17</v>
      </c>
      <c r="I27" s="250">
        <f t="shared" si="54"/>
        <v>61</v>
      </c>
      <c r="J27" s="250">
        <f t="shared" si="54"/>
        <v>0</v>
      </c>
      <c r="K27" s="250">
        <f t="shared" si="54"/>
        <v>0</v>
      </c>
      <c r="L27" s="250">
        <f t="shared" ref="L27:L32" si="55">SUM(M27:S27)</f>
        <v>0</v>
      </c>
      <c r="M27" s="250">
        <f t="shared" ref="M27:S27" si="56">+M23+M11</f>
        <v>0</v>
      </c>
      <c r="N27" s="250">
        <f t="shared" si="56"/>
        <v>0</v>
      </c>
      <c r="O27" s="250">
        <f t="shared" si="56"/>
        <v>0</v>
      </c>
      <c r="P27" s="250">
        <f t="shared" si="56"/>
        <v>0</v>
      </c>
      <c r="Q27" s="250">
        <f t="shared" si="56"/>
        <v>0</v>
      </c>
      <c r="R27" s="250">
        <f t="shared" si="56"/>
        <v>0</v>
      </c>
      <c r="S27" s="250">
        <f t="shared" si="56"/>
        <v>0</v>
      </c>
      <c r="T27" s="250">
        <f t="shared" ref="T27:T32" si="57">SUM(U27:AA27)</f>
        <v>0</v>
      </c>
      <c r="U27" s="250">
        <f t="shared" ref="U27:AA27" si="58">+U23+U11</f>
        <v>0</v>
      </c>
      <c r="V27" s="250">
        <f t="shared" si="58"/>
        <v>0</v>
      </c>
      <c r="W27" s="250">
        <f t="shared" si="58"/>
        <v>0</v>
      </c>
      <c r="X27" s="250">
        <f t="shared" si="58"/>
        <v>0</v>
      </c>
      <c r="Y27" s="250">
        <f t="shared" si="58"/>
        <v>0</v>
      </c>
      <c r="Z27" s="250">
        <f t="shared" si="58"/>
        <v>0</v>
      </c>
      <c r="AA27" s="250">
        <f t="shared" si="58"/>
        <v>0</v>
      </c>
      <c r="AB27" s="250">
        <f t="shared" ref="AB27:AB32" si="59">SUM(AC27:AI27)</f>
        <v>0</v>
      </c>
      <c r="AC27" s="250">
        <f t="shared" ref="AC27:AI27" si="60">+AC23+AC11</f>
        <v>0</v>
      </c>
      <c r="AD27" s="250">
        <f t="shared" si="60"/>
        <v>0</v>
      </c>
      <c r="AE27" s="250">
        <f t="shared" si="60"/>
        <v>0</v>
      </c>
      <c r="AF27" s="250">
        <f t="shared" si="60"/>
        <v>0</v>
      </c>
      <c r="AG27" s="250">
        <f t="shared" si="60"/>
        <v>0</v>
      </c>
      <c r="AH27" s="250">
        <f t="shared" si="60"/>
        <v>0</v>
      </c>
      <c r="AI27" s="250">
        <f t="shared" si="60"/>
        <v>0</v>
      </c>
      <c r="AJ27" s="250">
        <f t="shared" ref="AJ27:AJ32" si="61">SUM(AK27:AQ27)</f>
        <v>0</v>
      </c>
      <c r="AK27" s="250">
        <f t="shared" ref="AK27:AK29" si="62">+AK23+AK11</f>
        <v>0</v>
      </c>
    </row>
    <row r="28" s="240" customFormat="1" ht="15" customHeight="1" spans="1:37">
      <c r="A28" s="251"/>
      <c r="B28" s="254"/>
      <c r="C28" s="250" t="s">
        <v>166</v>
      </c>
      <c r="D28" s="250">
        <f t="shared" si="52"/>
        <v>129</v>
      </c>
      <c r="E28" s="250">
        <f t="shared" si="53"/>
        <v>129</v>
      </c>
      <c r="F28" s="250">
        <f t="shared" ref="F28:K28" si="63">+F24+F12</f>
        <v>18</v>
      </c>
      <c r="G28" s="250">
        <f t="shared" si="63"/>
        <v>49</v>
      </c>
      <c r="H28" s="250">
        <f t="shared" si="63"/>
        <v>9</v>
      </c>
      <c r="I28" s="250">
        <f t="shared" si="63"/>
        <v>53</v>
      </c>
      <c r="J28" s="250">
        <f t="shared" si="63"/>
        <v>0</v>
      </c>
      <c r="K28" s="250">
        <f t="shared" si="63"/>
        <v>0</v>
      </c>
      <c r="L28" s="250">
        <f t="shared" si="55"/>
        <v>0</v>
      </c>
      <c r="M28" s="250">
        <f t="shared" ref="M28:S28" si="64">+M24+M12</f>
        <v>0</v>
      </c>
      <c r="N28" s="250">
        <f t="shared" si="64"/>
        <v>0</v>
      </c>
      <c r="O28" s="250">
        <f t="shared" si="64"/>
        <v>0</v>
      </c>
      <c r="P28" s="250">
        <f t="shared" si="64"/>
        <v>0</v>
      </c>
      <c r="Q28" s="250">
        <f t="shared" si="64"/>
        <v>0</v>
      </c>
      <c r="R28" s="250">
        <f t="shared" si="64"/>
        <v>0</v>
      </c>
      <c r="S28" s="250">
        <f t="shared" si="64"/>
        <v>0</v>
      </c>
      <c r="T28" s="250">
        <f t="shared" si="57"/>
        <v>0</v>
      </c>
      <c r="U28" s="250">
        <f t="shared" ref="U28:AA28" si="65">+U24+U12</f>
        <v>0</v>
      </c>
      <c r="V28" s="250">
        <f t="shared" si="65"/>
        <v>0</v>
      </c>
      <c r="W28" s="250">
        <f t="shared" si="65"/>
        <v>0</v>
      </c>
      <c r="X28" s="250">
        <f t="shared" si="65"/>
        <v>0</v>
      </c>
      <c r="Y28" s="250">
        <f t="shared" si="65"/>
        <v>0</v>
      </c>
      <c r="Z28" s="250">
        <f t="shared" si="65"/>
        <v>0</v>
      </c>
      <c r="AA28" s="250">
        <f t="shared" si="65"/>
        <v>0</v>
      </c>
      <c r="AB28" s="250">
        <f t="shared" si="59"/>
        <v>0</v>
      </c>
      <c r="AC28" s="250">
        <f t="shared" ref="AC28:AI28" si="66">+AC24+AC12</f>
        <v>0</v>
      </c>
      <c r="AD28" s="250">
        <f t="shared" si="66"/>
        <v>0</v>
      </c>
      <c r="AE28" s="250">
        <f t="shared" si="66"/>
        <v>0</v>
      </c>
      <c r="AF28" s="250">
        <f t="shared" si="66"/>
        <v>0</v>
      </c>
      <c r="AG28" s="250">
        <f t="shared" si="66"/>
        <v>0</v>
      </c>
      <c r="AH28" s="250">
        <f t="shared" si="66"/>
        <v>0</v>
      </c>
      <c r="AI28" s="250">
        <f t="shared" si="66"/>
        <v>0</v>
      </c>
      <c r="AJ28" s="250">
        <f t="shared" si="61"/>
        <v>0</v>
      </c>
      <c r="AK28" s="250">
        <f t="shared" si="62"/>
        <v>0</v>
      </c>
    </row>
    <row r="29" s="240" customFormat="1" ht="15" customHeight="1" spans="1:37">
      <c r="A29" s="251"/>
      <c r="B29" s="254"/>
      <c r="C29" s="250" t="s">
        <v>167</v>
      </c>
      <c r="D29" s="250">
        <f>D27-D28</f>
        <v>29</v>
      </c>
      <c r="E29" s="250">
        <f>E27-E28</f>
        <v>29</v>
      </c>
      <c r="F29" s="250">
        <f t="shared" ref="F29:K29" si="67">+F25+F13</f>
        <v>10</v>
      </c>
      <c r="G29" s="250">
        <f t="shared" si="67"/>
        <v>3</v>
      </c>
      <c r="H29" s="250">
        <f t="shared" si="67"/>
        <v>8</v>
      </c>
      <c r="I29" s="250">
        <f t="shared" si="67"/>
        <v>2</v>
      </c>
      <c r="J29" s="250">
        <f t="shared" si="67"/>
        <v>0</v>
      </c>
      <c r="K29" s="250">
        <f t="shared" si="67"/>
        <v>0</v>
      </c>
      <c r="L29" s="250">
        <f>L27-L28</f>
        <v>0</v>
      </c>
      <c r="M29" s="250">
        <f t="shared" ref="M29:S29" si="68">+M25+M13</f>
        <v>0</v>
      </c>
      <c r="N29" s="250">
        <f t="shared" si="68"/>
        <v>0</v>
      </c>
      <c r="O29" s="250">
        <f t="shared" si="68"/>
        <v>0</v>
      </c>
      <c r="P29" s="250">
        <f t="shared" si="68"/>
        <v>0</v>
      </c>
      <c r="Q29" s="250">
        <f t="shared" si="68"/>
        <v>0</v>
      </c>
      <c r="R29" s="250">
        <f t="shared" si="68"/>
        <v>0</v>
      </c>
      <c r="S29" s="250">
        <f t="shared" si="68"/>
        <v>0</v>
      </c>
      <c r="T29" s="250">
        <f>T27-T28</f>
        <v>0</v>
      </c>
      <c r="U29" s="250">
        <f t="shared" ref="U29:AA29" si="69">+U25+U13</f>
        <v>0</v>
      </c>
      <c r="V29" s="250">
        <f t="shared" si="69"/>
        <v>0</v>
      </c>
      <c r="W29" s="250">
        <f t="shared" si="69"/>
        <v>0</v>
      </c>
      <c r="X29" s="250">
        <f t="shared" si="69"/>
        <v>0</v>
      </c>
      <c r="Y29" s="250">
        <f t="shared" si="69"/>
        <v>0</v>
      </c>
      <c r="Z29" s="250">
        <f t="shared" si="69"/>
        <v>0</v>
      </c>
      <c r="AA29" s="250">
        <f t="shared" si="69"/>
        <v>0</v>
      </c>
      <c r="AB29" s="250">
        <f>AB27-AB28</f>
        <v>0</v>
      </c>
      <c r="AC29" s="250">
        <f t="shared" ref="AC29:AI29" si="70">+AC25+AC13</f>
        <v>0</v>
      </c>
      <c r="AD29" s="250">
        <f t="shared" si="70"/>
        <v>0</v>
      </c>
      <c r="AE29" s="250">
        <f t="shared" si="70"/>
        <v>0</v>
      </c>
      <c r="AF29" s="250">
        <f t="shared" si="70"/>
        <v>0</v>
      </c>
      <c r="AG29" s="250">
        <f t="shared" si="70"/>
        <v>0</v>
      </c>
      <c r="AH29" s="250">
        <f t="shared" si="70"/>
        <v>0</v>
      </c>
      <c r="AI29" s="250">
        <f t="shared" si="70"/>
        <v>0</v>
      </c>
      <c r="AJ29" s="250">
        <f>AJ27-AJ28</f>
        <v>0</v>
      </c>
      <c r="AK29" s="250">
        <f t="shared" si="62"/>
        <v>0</v>
      </c>
    </row>
    <row r="30" s="240" customFormat="1" ht="15" customHeight="1" spans="1:37">
      <c r="A30" s="251"/>
      <c r="B30" s="254"/>
      <c r="C30" s="250" t="s">
        <v>168</v>
      </c>
      <c r="D30" s="253">
        <f t="shared" ref="D30:AK30" si="71">D28/D27</f>
        <v>0.816455696202532</v>
      </c>
      <c r="E30" s="253">
        <f t="shared" si="71"/>
        <v>0.816455696202532</v>
      </c>
      <c r="F30" s="253">
        <f t="shared" si="71"/>
        <v>0.642857142857143</v>
      </c>
      <c r="G30" s="253">
        <f t="shared" si="71"/>
        <v>0.942307692307692</v>
      </c>
      <c r="H30" s="253">
        <f t="shared" si="71"/>
        <v>0.529411764705882</v>
      </c>
      <c r="I30" s="253">
        <f t="shared" si="71"/>
        <v>0.868852459016393</v>
      </c>
      <c r="J30" s="253" t="e">
        <f t="shared" si="71"/>
        <v>#DIV/0!</v>
      </c>
      <c r="K30" s="253" t="e">
        <f t="shared" si="71"/>
        <v>#DIV/0!</v>
      </c>
      <c r="L30" s="253" t="e">
        <f t="shared" si="71"/>
        <v>#DIV/0!</v>
      </c>
      <c r="M30" s="253" t="e">
        <f t="shared" si="71"/>
        <v>#DIV/0!</v>
      </c>
      <c r="N30" s="253" t="e">
        <f t="shared" si="71"/>
        <v>#DIV/0!</v>
      </c>
      <c r="O30" s="253" t="e">
        <f t="shared" si="71"/>
        <v>#DIV/0!</v>
      </c>
      <c r="P30" s="253" t="e">
        <f t="shared" si="71"/>
        <v>#DIV/0!</v>
      </c>
      <c r="Q30" s="253" t="e">
        <f t="shared" si="71"/>
        <v>#DIV/0!</v>
      </c>
      <c r="R30" s="253" t="e">
        <f t="shared" si="71"/>
        <v>#DIV/0!</v>
      </c>
      <c r="S30" s="253" t="e">
        <f t="shared" si="71"/>
        <v>#DIV/0!</v>
      </c>
      <c r="T30" s="253" t="e">
        <f t="shared" si="71"/>
        <v>#DIV/0!</v>
      </c>
      <c r="U30" s="253" t="e">
        <f t="shared" si="71"/>
        <v>#DIV/0!</v>
      </c>
      <c r="V30" s="253" t="e">
        <f t="shared" si="71"/>
        <v>#DIV/0!</v>
      </c>
      <c r="W30" s="253" t="e">
        <f t="shared" si="71"/>
        <v>#DIV/0!</v>
      </c>
      <c r="X30" s="253" t="e">
        <f t="shared" si="71"/>
        <v>#DIV/0!</v>
      </c>
      <c r="Y30" s="253" t="e">
        <f t="shared" si="71"/>
        <v>#DIV/0!</v>
      </c>
      <c r="Z30" s="253" t="e">
        <f t="shared" si="71"/>
        <v>#DIV/0!</v>
      </c>
      <c r="AA30" s="253" t="e">
        <f t="shared" si="71"/>
        <v>#DIV/0!</v>
      </c>
      <c r="AB30" s="253" t="e">
        <f t="shared" si="71"/>
        <v>#DIV/0!</v>
      </c>
      <c r="AC30" s="253" t="e">
        <f t="shared" si="71"/>
        <v>#DIV/0!</v>
      </c>
      <c r="AD30" s="253" t="e">
        <f t="shared" si="71"/>
        <v>#DIV/0!</v>
      </c>
      <c r="AE30" s="253" t="e">
        <f t="shared" si="71"/>
        <v>#DIV/0!</v>
      </c>
      <c r="AF30" s="253" t="e">
        <f t="shared" si="71"/>
        <v>#DIV/0!</v>
      </c>
      <c r="AG30" s="253" t="e">
        <f t="shared" si="71"/>
        <v>#DIV/0!</v>
      </c>
      <c r="AH30" s="253" t="e">
        <f t="shared" si="71"/>
        <v>#DIV/0!</v>
      </c>
      <c r="AI30" s="253" t="e">
        <f t="shared" si="71"/>
        <v>#DIV/0!</v>
      </c>
      <c r="AJ30" s="253" t="e">
        <f t="shared" si="71"/>
        <v>#DIV/0!</v>
      </c>
      <c r="AK30" s="268" t="e">
        <f t="shared" si="71"/>
        <v>#DIV/0!</v>
      </c>
    </row>
    <row r="31" s="240" customFormat="1" ht="15" customHeight="1" spans="1:37">
      <c r="A31" s="251"/>
      <c r="B31" s="248" t="s">
        <v>175</v>
      </c>
      <c r="C31" s="249" t="s">
        <v>165</v>
      </c>
      <c r="D31" s="249">
        <f t="shared" si="52"/>
        <v>13</v>
      </c>
      <c r="E31" s="250">
        <f t="shared" si="53"/>
        <v>13</v>
      </c>
      <c r="F31" s="249">
        <v>0</v>
      </c>
      <c r="G31" s="249">
        <v>10</v>
      </c>
      <c r="H31" s="249">
        <v>3</v>
      </c>
      <c r="I31" s="249"/>
      <c r="J31" s="249"/>
      <c r="K31" s="249"/>
      <c r="L31" s="250">
        <f t="shared" si="55"/>
        <v>0</v>
      </c>
      <c r="M31" s="249"/>
      <c r="N31" s="249"/>
      <c r="O31" s="249"/>
      <c r="P31" s="249"/>
      <c r="Q31" s="249"/>
      <c r="R31" s="249"/>
      <c r="S31" s="249"/>
      <c r="T31" s="250">
        <f t="shared" si="57"/>
        <v>0</v>
      </c>
      <c r="U31" s="249"/>
      <c r="V31" s="249"/>
      <c r="W31" s="249"/>
      <c r="X31" s="249"/>
      <c r="Y31" s="249"/>
      <c r="Z31" s="249"/>
      <c r="AA31" s="249"/>
      <c r="AB31" s="250">
        <f t="shared" si="59"/>
        <v>0</v>
      </c>
      <c r="AC31" s="249"/>
      <c r="AD31" s="249"/>
      <c r="AE31" s="249"/>
      <c r="AF31" s="249"/>
      <c r="AG31" s="249"/>
      <c r="AH31" s="249"/>
      <c r="AI31" s="249"/>
      <c r="AJ31" s="250">
        <f t="shared" si="61"/>
        <v>0</v>
      </c>
      <c r="AK31" s="266"/>
    </row>
    <row r="32" s="240" customFormat="1" ht="15" customHeight="1" spans="1:37">
      <c r="A32" s="251"/>
      <c r="B32" s="248"/>
      <c r="C32" s="249" t="s">
        <v>166</v>
      </c>
      <c r="D32" s="249">
        <f t="shared" si="52"/>
        <v>13</v>
      </c>
      <c r="E32" s="250">
        <f t="shared" si="53"/>
        <v>13</v>
      </c>
      <c r="F32" s="249">
        <v>0</v>
      </c>
      <c r="G32" s="249">
        <v>10</v>
      </c>
      <c r="H32" s="249">
        <v>3</v>
      </c>
      <c r="I32" s="249"/>
      <c r="J32" s="249"/>
      <c r="K32" s="249"/>
      <c r="L32" s="250">
        <f t="shared" si="55"/>
        <v>0</v>
      </c>
      <c r="M32" s="249"/>
      <c r="N32" s="249"/>
      <c r="O32" s="249"/>
      <c r="P32" s="249"/>
      <c r="Q32" s="249"/>
      <c r="R32" s="249"/>
      <c r="S32" s="249"/>
      <c r="T32" s="250">
        <f t="shared" si="57"/>
        <v>0</v>
      </c>
      <c r="U32" s="249"/>
      <c r="V32" s="249"/>
      <c r="W32" s="249"/>
      <c r="X32" s="249"/>
      <c r="Y32" s="249"/>
      <c r="Z32" s="249"/>
      <c r="AA32" s="249"/>
      <c r="AB32" s="250">
        <f t="shared" si="59"/>
        <v>0</v>
      </c>
      <c r="AC32" s="249"/>
      <c r="AD32" s="249"/>
      <c r="AE32" s="249"/>
      <c r="AF32" s="249"/>
      <c r="AG32" s="249"/>
      <c r="AH32" s="249"/>
      <c r="AI32" s="249"/>
      <c r="AJ32" s="250">
        <f t="shared" si="61"/>
        <v>0</v>
      </c>
      <c r="AK32" s="266"/>
    </row>
    <row r="33" s="240" customFormat="1" ht="15" customHeight="1" spans="1:37">
      <c r="A33" s="251"/>
      <c r="B33" s="248"/>
      <c r="C33" s="249" t="s">
        <v>167</v>
      </c>
      <c r="D33" s="249">
        <f t="shared" ref="D33:H33" si="72">D31-D32</f>
        <v>0</v>
      </c>
      <c r="E33" s="250">
        <f t="shared" si="72"/>
        <v>0</v>
      </c>
      <c r="F33" s="249">
        <f t="shared" si="72"/>
        <v>0</v>
      </c>
      <c r="G33" s="249">
        <f t="shared" si="72"/>
        <v>0</v>
      </c>
      <c r="H33" s="249">
        <f t="shared" si="72"/>
        <v>0</v>
      </c>
      <c r="I33" s="249">
        <v>0</v>
      </c>
      <c r="J33" s="249">
        <v>0</v>
      </c>
      <c r="K33" s="249">
        <v>0</v>
      </c>
      <c r="L33" s="250">
        <f t="shared" ref="L33:AK33" si="73">L31-L32</f>
        <v>0</v>
      </c>
      <c r="M33" s="249">
        <f t="shared" si="73"/>
        <v>0</v>
      </c>
      <c r="N33" s="249">
        <f t="shared" si="73"/>
        <v>0</v>
      </c>
      <c r="O33" s="249">
        <f t="shared" si="73"/>
        <v>0</v>
      </c>
      <c r="P33" s="249">
        <f t="shared" si="73"/>
        <v>0</v>
      </c>
      <c r="Q33" s="249">
        <f t="shared" si="73"/>
        <v>0</v>
      </c>
      <c r="R33" s="249">
        <f t="shared" si="73"/>
        <v>0</v>
      </c>
      <c r="S33" s="249">
        <f t="shared" si="73"/>
        <v>0</v>
      </c>
      <c r="T33" s="250">
        <f t="shared" si="73"/>
        <v>0</v>
      </c>
      <c r="U33" s="249">
        <f t="shared" si="73"/>
        <v>0</v>
      </c>
      <c r="V33" s="249">
        <f t="shared" si="73"/>
        <v>0</v>
      </c>
      <c r="W33" s="249">
        <f t="shared" si="73"/>
        <v>0</v>
      </c>
      <c r="X33" s="249">
        <f t="shared" si="73"/>
        <v>0</v>
      </c>
      <c r="Y33" s="249">
        <f t="shared" si="73"/>
        <v>0</v>
      </c>
      <c r="Z33" s="249">
        <f t="shared" si="73"/>
        <v>0</v>
      </c>
      <c r="AA33" s="249">
        <f t="shared" si="73"/>
        <v>0</v>
      </c>
      <c r="AB33" s="250">
        <f t="shared" si="73"/>
        <v>0</v>
      </c>
      <c r="AC33" s="249">
        <f t="shared" si="73"/>
        <v>0</v>
      </c>
      <c r="AD33" s="249">
        <f t="shared" si="73"/>
        <v>0</v>
      </c>
      <c r="AE33" s="249">
        <f t="shared" si="73"/>
        <v>0</v>
      </c>
      <c r="AF33" s="249">
        <f t="shared" si="73"/>
        <v>0</v>
      </c>
      <c r="AG33" s="249">
        <f t="shared" si="73"/>
        <v>0</v>
      </c>
      <c r="AH33" s="249">
        <f t="shared" si="73"/>
        <v>0</v>
      </c>
      <c r="AI33" s="249">
        <f t="shared" si="73"/>
        <v>0</v>
      </c>
      <c r="AJ33" s="250">
        <f t="shared" si="73"/>
        <v>0</v>
      </c>
      <c r="AK33" s="266">
        <f t="shared" si="73"/>
        <v>0</v>
      </c>
    </row>
    <row r="34" s="240" customFormat="1" ht="15" customHeight="1" spans="1:37">
      <c r="A34" s="251"/>
      <c r="B34" s="248"/>
      <c r="C34" s="249" t="s">
        <v>168</v>
      </c>
      <c r="D34" s="252">
        <f t="shared" ref="D34:AK34" si="74">D32/D31</f>
        <v>1</v>
      </c>
      <c r="E34" s="253">
        <f t="shared" si="74"/>
        <v>1</v>
      </c>
      <c r="F34" s="252" t="e">
        <f t="shared" si="74"/>
        <v>#DIV/0!</v>
      </c>
      <c r="G34" s="252">
        <f t="shared" si="74"/>
        <v>1</v>
      </c>
      <c r="H34" s="252">
        <f t="shared" si="74"/>
        <v>1</v>
      </c>
      <c r="I34" s="252" t="e">
        <f t="shared" si="74"/>
        <v>#DIV/0!</v>
      </c>
      <c r="J34" s="252" t="e">
        <f t="shared" si="74"/>
        <v>#DIV/0!</v>
      </c>
      <c r="K34" s="252" t="e">
        <f t="shared" si="74"/>
        <v>#DIV/0!</v>
      </c>
      <c r="L34" s="253" t="e">
        <f t="shared" si="74"/>
        <v>#DIV/0!</v>
      </c>
      <c r="M34" s="252" t="e">
        <f t="shared" si="74"/>
        <v>#DIV/0!</v>
      </c>
      <c r="N34" s="252" t="e">
        <f t="shared" si="74"/>
        <v>#DIV/0!</v>
      </c>
      <c r="O34" s="252" t="e">
        <f t="shared" si="74"/>
        <v>#DIV/0!</v>
      </c>
      <c r="P34" s="252" t="e">
        <f t="shared" si="74"/>
        <v>#DIV/0!</v>
      </c>
      <c r="Q34" s="252" t="e">
        <f t="shared" si="74"/>
        <v>#DIV/0!</v>
      </c>
      <c r="R34" s="252" t="e">
        <f t="shared" si="74"/>
        <v>#DIV/0!</v>
      </c>
      <c r="S34" s="252" t="e">
        <f t="shared" si="74"/>
        <v>#DIV/0!</v>
      </c>
      <c r="T34" s="253" t="e">
        <f t="shared" si="74"/>
        <v>#DIV/0!</v>
      </c>
      <c r="U34" s="252" t="e">
        <f t="shared" si="74"/>
        <v>#DIV/0!</v>
      </c>
      <c r="V34" s="252" t="e">
        <f t="shared" si="74"/>
        <v>#DIV/0!</v>
      </c>
      <c r="W34" s="252" t="e">
        <f t="shared" si="74"/>
        <v>#DIV/0!</v>
      </c>
      <c r="X34" s="252" t="e">
        <f t="shared" si="74"/>
        <v>#DIV/0!</v>
      </c>
      <c r="Y34" s="252" t="e">
        <f t="shared" si="74"/>
        <v>#DIV/0!</v>
      </c>
      <c r="Z34" s="252" t="e">
        <f t="shared" si="74"/>
        <v>#DIV/0!</v>
      </c>
      <c r="AA34" s="252" t="e">
        <f t="shared" si="74"/>
        <v>#DIV/0!</v>
      </c>
      <c r="AB34" s="253" t="e">
        <f t="shared" si="74"/>
        <v>#DIV/0!</v>
      </c>
      <c r="AC34" s="252" t="e">
        <f t="shared" si="74"/>
        <v>#DIV/0!</v>
      </c>
      <c r="AD34" s="252" t="e">
        <f t="shared" si="74"/>
        <v>#DIV/0!</v>
      </c>
      <c r="AE34" s="252" t="e">
        <f t="shared" si="74"/>
        <v>#DIV/0!</v>
      </c>
      <c r="AF34" s="252" t="e">
        <f t="shared" si="74"/>
        <v>#DIV/0!</v>
      </c>
      <c r="AG34" s="252" t="e">
        <f t="shared" si="74"/>
        <v>#DIV/0!</v>
      </c>
      <c r="AH34" s="252" t="e">
        <f t="shared" si="74"/>
        <v>#DIV/0!</v>
      </c>
      <c r="AI34" s="252" t="e">
        <f t="shared" si="74"/>
        <v>#DIV/0!</v>
      </c>
      <c r="AJ34" s="253" t="e">
        <f t="shared" si="74"/>
        <v>#DIV/0!</v>
      </c>
      <c r="AK34" s="267" t="e">
        <f t="shared" si="74"/>
        <v>#DIV/0!</v>
      </c>
    </row>
    <row r="35" s="240" customFormat="1" ht="15" customHeight="1" spans="1:37">
      <c r="A35" s="251"/>
      <c r="B35" s="248" t="s">
        <v>176</v>
      </c>
      <c r="C35" s="249" t="s">
        <v>165</v>
      </c>
      <c r="D35" s="249">
        <f t="shared" ref="D35:D40" si="75">E35+L35+T35+AB35</f>
        <v>0</v>
      </c>
      <c r="E35" s="250">
        <f t="shared" ref="E35:E40" si="76">SUM(F35:K35)</f>
        <v>0</v>
      </c>
      <c r="F35" s="249">
        <v>0</v>
      </c>
      <c r="G35" s="249">
        <v>0</v>
      </c>
      <c r="H35" s="249">
        <v>0</v>
      </c>
      <c r="I35" s="249"/>
      <c r="J35" s="249"/>
      <c r="K35" s="249"/>
      <c r="L35" s="250">
        <f t="shared" ref="L35:L40" si="77">SUM(M35:S35)</f>
        <v>0</v>
      </c>
      <c r="M35" s="249"/>
      <c r="N35" s="249"/>
      <c r="O35" s="249"/>
      <c r="P35" s="249"/>
      <c r="Q35" s="249"/>
      <c r="R35" s="249"/>
      <c r="S35" s="249"/>
      <c r="T35" s="250">
        <f t="shared" ref="T35:T40" si="78">SUM(U35:AA35)</f>
        <v>0</v>
      </c>
      <c r="U35" s="249"/>
      <c r="V35" s="249"/>
      <c r="W35" s="249"/>
      <c r="X35" s="249"/>
      <c r="Y35" s="249"/>
      <c r="Z35" s="249"/>
      <c r="AA35" s="249"/>
      <c r="AB35" s="250">
        <f t="shared" ref="AB35:AB40" si="79">SUM(AC35:AI35)</f>
        <v>0</v>
      </c>
      <c r="AC35" s="249"/>
      <c r="AD35" s="249"/>
      <c r="AE35" s="249"/>
      <c r="AF35" s="249"/>
      <c r="AG35" s="249"/>
      <c r="AH35" s="249"/>
      <c r="AI35" s="249"/>
      <c r="AJ35" s="250">
        <f t="shared" ref="AJ35:AJ40" si="80">SUM(AK35:AQ35)</f>
        <v>0</v>
      </c>
      <c r="AK35" s="266"/>
    </row>
    <row r="36" s="240" customFormat="1" ht="15" customHeight="1" spans="1:37">
      <c r="A36" s="251"/>
      <c r="B36" s="248"/>
      <c r="C36" s="249" t="s">
        <v>166</v>
      </c>
      <c r="D36" s="249">
        <f t="shared" si="75"/>
        <v>0</v>
      </c>
      <c r="E36" s="250">
        <f t="shared" si="76"/>
        <v>0</v>
      </c>
      <c r="F36" s="249">
        <v>0</v>
      </c>
      <c r="G36" s="249">
        <v>0</v>
      </c>
      <c r="H36" s="249">
        <v>0</v>
      </c>
      <c r="I36" s="249"/>
      <c r="J36" s="249"/>
      <c r="K36" s="249"/>
      <c r="L36" s="250">
        <f t="shared" si="77"/>
        <v>0</v>
      </c>
      <c r="M36" s="249"/>
      <c r="N36" s="249"/>
      <c r="O36" s="249"/>
      <c r="P36" s="249"/>
      <c r="Q36" s="249"/>
      <c r="R36" s="249"/>
      <c r="S36" s="249"/>
      <c r="T36" s="250">
        <f t="shared" si="78"/>
        <v>0</v>
      </c>
      <c r="U36" s="249"/>
      <c r="V36" s="249"/>
      <c r="W36" s="249"/>
      <c r="X36" s="249"/>
      <c r="Y36" s="249"/>
      <c r="Z36" s="249"/>
      <c r="AA36" s="249"/>
      <c r="AB36" s="250">
        <f t="shared" si="79"/>
        <v>0</v>
      </c>
      <c r="AC36" s="249"/>
      <c r="AD36" s="249"/>
      <c r="AE36" s="249"/>
      <c r="AF36" s="249"/>
      <c r="AG36" s="249"/>
      <c r="AH36" s="249"/>
      <c r="AI36" s="249"/>
      <c r="AJ36" s="250">
        <f t="shared" si="80"/>
        <v>0</v>
      </c>
      <c r="AK36" s="266"/>
    </row>
    <row r="37" s="240" customFormat="1" ht="15" customHeight="1" spans="1:37">
      <c r="A37" s="251"/>
      <c r="B37" s="248"/>
      <c r="C37" s="249" t="s">
        <v>167</v>
      </c>
      <c r="D37" s="249">
        <f t="shared" ref="D37:H37" si="81">D35-D36</f>
        <v>0</v>
      </c>
      <c r="E37" s="250">
        <f t="shared" si="81"/>
        <v>0</v>
      </c>
      <c r="F37" s="249">
        <f t="shared" si="81"/>
        <v>0</v>
      </c>
      <c r="G37" s="249">
        <f t="shared" si="81"/>
        <v>0</v>
      </c>
      <c r="H37" s="249">
        <f t="shared" si="81"/>
        <v>0</v>
      </c>
      <c r="I37" s="249">
        <v>0</v>
      </c>
      <c r="J37" s="249">
        <v>0</v>
      </c>
      <c r="K37" s="249">
        <v>0</v>
      </c>
      <c r="L37" s="250">
        <f t="shared" ref="L37:AK37" si="82">L35-L36</f>
        <v>0</v>
      </c>
      <c r="M37" s="249">
        <f t="shared" si="82"/>
        <v>0</v>
      </c>
      <c r="N37" s="249">
        <f t="shared" si="82"/>
        <v>0</v>
      </c>
      <c r="O37" s="249">
        <f t="shared" si="82"/>
        <v>0</v>
      </c>
      <c r="P37" s="249">
        <f t="shared" si="82"/>
        <v>0</v>
      </c>
      <c r="Q37" s="249">
        <f t="shared" si="82"/>
        <v>0</v>
      </c>
      <c r="R37" s="249">
        <f t="shared" si="82"/>
        <v>0</v>
      </c>
      <c r="S37" s="249">
        <f t="shared" si="82"/>
        <v>0</v>
      </c>
      <c r="T37" s="250">
        <f t="shared" si="82"/>
        <v>0</v>
      </c>
      <c r="U37" s="249">
        <f t="shared" si="82"/>
        <v>0</v>
      </c>
      <c r="V37" s="249">
        <f t="shared" si="82"/>
        <v>0</v>
      </c>
      <c r="W37" s="249">
        <f t="shared" si="82"/>
        <v>0</v>
      </c>
      <c r="X37" s="249">
        <f t="shared" si="82"/>
        <v>0</v>
      </c>
      <c r="Y37" s="249">
        <f t="shared" si="82"/>
        <v>0</v>
      </c>
      <c r="Z37" s="249">
        <f t="shared" si="82"/>
        <v>0</v>
      </c>
      <c r="AA37" s="249">
        <f t="shared" si="82"/>
        <v>0</v>
      </c>
      <c r="AB37" s="250">
        <f t="shared" si="82"/>
        <v>0</v>
      </c>
      <c r="AC37" s="249">
        <f t="shared" si="82"/>
        <v>0</v>
      </c>
      <c r="AD37" s="249">
        <f t="shared" si="82"/>
        <v>0</v>
      </c>
      <c r="AE37" s="249">
        <f t="shared" si="82"/>
        <v>0</v>
      </c>
      <c r="AF37" s="249">
        <f t="shared" si="82"/>
        <v>0</v>
      </c>
      <c r="AG37" s="249">
        <f t="shared" si="82"/>
        <v>0</v>
      </c>
      <c r="AH37" s="249">
        <f t="shared" si="82"/>
        <v>0</v>
      </c>
      <c r="AI37" s="249">
        <f t="shared" si="82"/>
        <v>0</v>
      </c>
      <c r="AJ37" s="250">
        <f t="shared" si="82"/>
        <v>0</v>
      </c>
      <c r="AK37" s="266">
        <f t="shared" si="82"/>
        <v>0</v>
      </c>
    </row>
    <row r="38" s="240" customFormat="1" ht="15" customHeight="1" spans="1:37">
      <c r="A38" s="251"/>
      <c r="B38" s="248"/>
      <c r="C38" s="249" t="s">
        <v>168</v>
      </c>
      <c r="D38" s="252" t="e">
        <f t="shared" ref="D38:AK38" si="83">D36/D35</f>
        <v>#DIV/0!</v>
      </c>
      <c r="E38" s="253" t="e">
        <f t="shared" si="83"/>
        <v>#DIV/0!</v>
      </c>
      <c r="F38" s="252" t="e">
        <f t="shared" si="83"/>
        <v>#DIV/0!</v>
      </c>
      <c r="G38" s="252" t="e">
        <f t="shared" si="83"/>
        <v>#DIV/0!</v>
      </c>
      <c r="H38" s="252" t="e">
        <f t="shared" si="83"/>
        <v>#DIV/0!</v>
      </c>
      <c r="I38" s="252" t="e">
        <f t="shared" si="83"/>
        <v>#DIV/0!</v>
      </c>
      <c r="J38" s="252" t="e">
        <f t="shared" si="83"/>
        <v>#DIV/0!</v>
      </c>
      <c r="K38" s="252" t="e">
        <f t="shared" si="83"/>
        <v>#DIV/0!</v>
      </c>
      <c r="L38" s="253" t="e">
        <f t="shared" si="83"/>
        <v>#DIV/0!</v>
      </c>
      <c r="M38" s="252" t="e">
        <f t="shared" si="83"/>
        <v>#DIV/0!</v>
      </c>
      <c r="N38" s="252" t="e">
        <f t="shared" si="83"/>
        <v>#DIV/0!</v>
      </c>
      <c r="O38" s="252" t="e">
        <f t="shared" si="83"/>
        <v>#DIV/0!</v>
      </c>
      <c r="P38" s="252" t="e">
        <f t="shared" si="83"/>
        <v>#DIV/0!</v>
      </c>
      <c r="Q38" s="252" t="e">
        <f t="shared" si="83"/>
        <v>#DIV/0!</v>
      </c>
      <c r="R38" s="252" t="e">
        <f t="shared" si="83"/>
        <v>#DIV/0!</v>
      </c>
      <c r="S38" s="252" t="e">
        <f t="shared" si="83"/>
        <v>#DIV/0!</v>
      </c>
      <c r="T38" s="253" t="e">
        <f t="shared" si="83"/>
        <v>#DIV/0!</v>
      </c>
      <c r="U38" s="252" t="e">
        <f t="shared" si="83"/>
        <v>#DIV/0!</v>
      </c>
      <c r="V38" s="252" t="e">
        <f t="shared" si="83"/>
        <v>#DIV/0!</v>
      </c>
      <c r="W38" s="252" t="e">
        <f t="shared" si="83"/>
        <v>#DIV/0!</v>
      </c>
      <c r="X38" s="252" t="e">
        <f t="shared" si="83"/>
        <v>#DIV/0!</v>
      </c>
      <c r="Y38" s="252" t="e">
        <f t="shared" si="83"/>
        <v>#DIV/0!</v>
      </c>
      <c r="Z38" s="252" t="e">
        <f t="shared" si="83"/>
        <v>#DIV/0!</v>
      </c>
      <c r="AA38" s="252" t="e">
        <f t="shared" si="83"/>
        <v>#DIV/0!</v>
      </c>
      <c r="AB38" s="253" t="e">
        <f t="shared" si="83"/>
        <v>#DIV/0!</v>
      </c>
      <c r="AC38" s="252" t="e">
        <f t="shared" si="83"/>
        <v>#DIV/0!</v>
      </c>
      <c r="AD38" s="252" t="e">
        <f t="shared" si="83"/>
        <v>#DIV/0!</v>
      </c>
      <c r="AE38" s="252" t="e">
        <f t="shared" si="83"/>
        <v>#DIV/0!</v>
      </c>
      <c r="AF38" s="252" t="e">
        <f t="shared" si="83"/>
        <v>#DIV/0!</v>
      </c>
      <c r="AG38" s="252" t="e">
        <f t="shared" si="83"/>
        <v>#DIV/0!</v>
      </c>
      <c r="AH38" s="252" t="e">
        <f t="shared" si="83"/>
        <v>#DIV/0!</v>
      </c>
      <c r="AI38" s="252" t="e">
        <f t="shared" si="83"/>
        <v>#DIV/0!</v>
      </c>
      <c r="AJ38" s="253" t="e">
        <f t="shared" si="83"/>
        <v>#DIV/0!</v>
      </c>
      <c r="AK38" s="267" t="e">
        <f t="shared" si="83"/>
        <v>#DIV/0!</v>
      </c>
    </row>
    <row r="39" s="240" customFormat="1" ht="15" customHeight="1" spans="1:37">
      <c r="A39" s="251"/>
      <c r="B39" s="254" t="s">
        <v>177</v>
      </c>
      <c r="C39" s="250" t="s">
        <v>165</v>
      </c>
      <c r="D39" s="250">
        <f t="shared" si="75"/>
        <v>13</v>
      </c>
      <c r="E39" s="250">
        <f t="shared" si="76"/>
        <v>13</v>
      </c>
      <c r="F39" s="250">
        <f t="shared" ref="F39:K39" si="84">+F35+F31</f>
        <v>0</v>
      </c>
      <c r="G39" s="250">
        <f t="shared" si="84"/>
        <v>10</v>
      </c>
      <c r="H39" s="250">
        <f t="shared" si="84"/>
        <v>3</v>
      </c>
      <c r="I39" s="250">
        <f t="shared" si="84"/>
        <v>0</v>
      </c>
      <c r="J39" s="250">
        <f t="shared" si="84"/>
        <v>0</v>
      </c>
      <c r="K39" s="250">
        <f t="shared" si="84"/>
        <v>0</v>
      </c>
      <c r="L39" s="250">
        <f t="shared" si="77"/>
        <v>0</v>
      </c>
      <c r="M39" s="250">
        <f t="shared" ref="M39:S39" si="85">+M35+M31</f>
        <v>0</v>
      </c>
      <c r="N39" s="250">
        <f t="shared" si="85"/>
        <v>0</v>
      </c>
      <c r="O39" s="250">
        <f t="shared" si="85"/>
        <v>0</v>
      </c>
      <c r="P39" s="250">
        <f t="shared" si="85"/>
        <v>0</v>
      </c>
      <c r="Q39" s="250">
        <f t="shared" si="85"/>
        <v>0</v>
      </c>
      <c r="R39" s="250">
        <f t="shared" si="85"/>
        <v>0</v>
      </c>
      <c r="S39" s="250">
        <f t="shared" si="85"/>
        <v>0</v>
      </c>
      <c r="T39" s="250">
        <f t="shared" si="78"/>
        <v>0</v>
      </c>
      <c r="U39" s="250">
        <f t="shared" ref="U39:AA39" si="86">+U35+U31</f>
        <v>0</v>
      </c>
      <c r="V39" s="250">
        <f t="shared" si="86"/>
        <v>0</v>
      </c>
      <c r="W39" s="250">
        <f t="shared" si="86"/>
        <v>0</v>
      </c>
      <c r="X39" s="250">
        <f t="shared" si="86"/>
        <v>0</v>
      </c>
      <c r="Y39" s="250">
        <f t="shared" si="86"/>
        <v>0</v>
      </c>
      <c r="Z39" s="250">
        <f t="shared" si="86"/>
        <v>0</v>
      </c>
      <c r="AA39" s="250">
        <f t="shared" si="86"/>
        <v>0</v>
      </c>
      <c r="AB39" s="250">
        <f t="shared" si="79"/>
        <v>0</v>
      </c>
      <c r="AC39" s="250">
        <f t="shared" ref="AC39:AI39" si="87">+AC35+AC31</f>
        <v>0</v>
      </c>
      <c r="AD39" s="250">
        <f t="shared" si="87"/>
        <v>0</v>
      </c>
      <c r="AE39" s="250">
        <f t="shared" si="87"/>
        <v>0</v>
      </c>
      <c r="AF39" s="250">
        <f t="shared" si="87"/>
        <v>0</v>
      </c>
      <c r="AG39" s="250">
        <f t="shared" si="87"/>
        <v>0</v>
      </c>
      <c r="AH39" s="250">
        <f t="shared" si="87"/>
        <v>0</v>
      </c>
      <c r="AI39" s="250">
        <f t="shared" si="87"/>
        <v>0</v>
      </c>
      <c r="AJ39" s="250">
        <f t="shared" si="80"/>
        <v>0</v>
      </c>
      <c r="AK39" s="250">
        <f t="shared" ref="AK39:AK41" si="88">+AK35+AK31</f>
        <v>0</v>
      </c>
    </row>
    <row r="40" s="240" customFormat="1" ht="15" customHeight="1" spans="1:37">
      <c r="A40" s="251"/>
      <c r="B40" s="254"/>
      <c r="C40" s="250" t="s">
        <v>166</v>
      </c>
      <c r="D40" s="250">
        <f t="shared" si="75"/>
        <v>13</v>
      </c>
      <c r="E40" s="250">
        <f t="shared" si="76"/>
        <v>13</v>
      </c>
      <c r="F40" s="250">
        <f t="shared" ref="F40:K40" si="89">+F36+F32</f>
        <v>0</v>
      </c>
      <c r="G40" s="250">
        <f t="shared" si="89"/>
        <v>10</v>
      </c>
      <c r="H40" s="250">
        <f t="shared" si="89"/>
        <v>3</v>
      </c>
      <c r="I40" s="250">
        <f t="shared" si="89"/>
        <v>0</v>
      </c>
      <c r="J40" s="250">
        <f t="shared" si="89"/>
        <v>0</v>
      </c>
      <c r="K40" s="250">
        <f t="shared" si="89"/>
        <v>0</v>
      </c>
      <c r="L40" s="250">
        <f t="shared" si="77"/>
        <v>0</v>
      </c>
      <c r="M40" s="250">
        <f t="shared" ref="M40:S40" si="90">+M36+M32</f>
        <v>0</v>
      </c>
      <c r="N40" s="250">
        <f t="shared" si="90"/>
        <v>0</v>
      </c>
      <c r="O40" s="250">
        <f t="shared" si="90"/>
        <v>0</v>
      </c>
      <c r="P40" s="250">
        <f t="shared" si="90"/>
        <v>0</v>
      </c>
      <c r="Q40" s="250">
        <f t="shared" si="90"/>
        <v>0</v>
      </c>
      <c r="R40" s="250">
        <f t="shared" si="90"/>
        <v>0</v>
      </c>
      <c r="S40" s="250">
        <f t="shared" si="90"/>
        <v>0</v>
      </c>
      <c r="T40" s="250">
        <f t="shared" si="78"/>
        <v>0</v>
      </c>
      <c r="U40" s="250">
        <f t="shared" ref="U40:AA40" si="91">+U36+U32</f>
        <v>0</v>
      </c>
      <c r="V40" s="250">
        <f t="shared" si="91"/>
        <v>0</v>
      </c>
      <c r="W40" s="250">
        <f t="shared" si="91"/>
        <v>0</v>
      </c>
      <c r="X40" s="250">
        <f t="shared" si="91"/>
        <v>0</v>
      </c>
      <c r="Y40" s="250">
        <f t="shared" si="91"/>
        <v>0</v>
      </c>
      <c r="Z40" s="250">
        <f t="shared" si="91"/>
        <v>0</v>
      </c>
      <c r="AA40" s="250">
        <f t="shared" si="91"/>
        <v>0</v>
      </c>
      <c r="AB40" s="250">
        <f t="shared" si="79"/>
        <v>0</v>
      </c>
      <c r="AC40" s="250">
        <f t="shared" ref="AC40:AI40" si="92">+AC36+AC32</f>
        <v>0</v>
      </c>
      <c r="AD40" s="250">
        <f t="shared" si="92"/>
        <v>0</v>
      </c>
      <c r="AE40" s="250">
        <f t="shared" si="92"/>
        <v>0</v>
      </c>
      <c r="AF40" s="250">
        <f t="shared" si="92"/>
        <v>0</v>
      </c>
      <c r="AG40" s="250">
        <f t="shared" si="92"/>
        <v>0</v>
      </c>
      <c r="AH40" s="250">
        <f t="shared" si="92"/>
        <v>0</v>
      </c>
      <c r="AI40" s="250">
        <f t="shared" si="92"/>
        <v>0</v>
      </c>
      <c r="AJ40" s="250">
        <f t="shared" si="80"/>
        <v>0</v>
      </c>
      <c r="AK40" s="250">
        <f t="shared" si="88"/>
        <v>0</v>
      </c>
    </row>
    <row r="41" s="240" customFormat="1" ht="15" customHeight="1" spans="1:37">
      <c r="A41" s="251"/>
      <c r="B41" s="254"/>
      <c r="C41" s="250" t="s">
        <v>167</v>
      </c>
      <c r="D41" s="250">
        <f>D39-D40</f>
        <v>0</v>
      </c>
      <c r="E41" s="250">
        <f>E39-E40</f>
        <v>0</v>
      </c>
      <c r="F41" s="250">
        <f t="shared" ref="F41:K41" si="93">+F37+F33</f>
        <v>0</v>
      </c>
      <c r="G41" s="250">
        <f t="shared" si="93"/>
        <v>0</v>
      </c>
      <c r="H41" s="250">
        <f t="shared" si="93"/>
        <v>0</v>
      </c>
      <c r="I41" s="250">
        <f t="shared" si="93"/>
        <v>0</v>
      </c>
      <c r="J41" s="250">
        <f t="shared" si="93"/>
        <v>0</v>
      </c>
      <c r="K41" s="250">
        <f t="shared" si="93"/>
        <v>0</v>
      </c>
      <c r="L41" s="250">
        <f>L39-L40</f>
        <v>0</v>
      </c>
      <c r="M41" s="250">
        <f t="shared" ref="M41:S41" si="94">+M37+M33</f>
        <v>0</v>
      </c>
      <c r="N41" s="250">
        <f t="shared" si="94"/>
        <v>0</v>
      </c>
      <c r="O41" s="250">
        <f t="shared" si="94"/>
        <v>0</v>
      </c>
      <c r="P41" s="250">
        <f t="shared" si="94"/>
        <v>0</v>
      </c>
      <c r="Q41" s="250">
        <f t="shared" si="94"/>
        <v>0</v>
      </c>
      <c r="R41" s="250">
        <f t="shared" si="94"/>
        <v>0</v>
      </c>
      <c r="S41" s="250">
        <f t="shared" si="94"/>
        <v>0</v>
      </c>
      <c r="T41" s="250">
        <f>T39-T40</f>
        <v>0</v>
      </c>
      <c r="U41" s="250">
        <f t="shared" ref="U41:AA41" si="95">+U37+U33</f>
        <v>0</v>
      </c>
      <c r="V41" s="250">
        <f t="shared" si="95"/>
        <v>0</v>
      </c>
      <c r="W41" s="250">
        <f t="shared" si="95"/>
        <v>0</v>
      </c>
      <c r="X41" s="250">
        <f t="shared" si="95"/>
        <v>0</v>
      </c>
      <c r="Y41" s="250">
        <f t="shared" si="95"/>
        <v>0</v>
      </c>
      <c r="Z41" s="250">
        <f t="shared" si="95"/>
        <v>0</v>
      </c>
      <c r="AA41" s="250">
        <f t="shared" si="95"/>
        <v>0</v>
      </c>
      <c r="AB41" s="250">
        <f>AB39-AB40</f>
        <v>0</v>
      </c>
      <c r="AC41" s="250">
        <f t="shared" ref="AC41:AI41" si="96">+AC37+AC33</f>
        <v>0</v>
      </c>
      <c r="AD41" s="250">
        <f t="shared" si="96"/>
        <v>0</v>
      </c>
      <c r="AE41" s="250">
        <f t="shared" si="96"/>
        <v>0</v>
      </c>
      <c r="AF41" s="250">
        <f t="shared" si="96"/>
        <v>0</v>
      </c>
      <c r="AG41" s="250">
        <f t="shared" si="96"/>
        <v>0</v>
      </c>
      <c r="AH41" s="250">
        <f t="shared" si="96"/>
        <v>0</v>
      </c>
      <c r="AI41" s="250">
        <f t="shared" si="96"/>
        <v>0</v>
      </c>
      <c r="AJ41" s="250">
        <f>AJ39-AJ40</f>
        <v>0</v>
      </c>
      <c r="AK41" s="250">
        <f t="shared" si="88"/>
        <v>0</v>
      </c>
    </row>
    <row r="42" s="240" customFormat="1" ht="15" customHeight="1" spans="1:37">
      <c r="A42" s="251"/>
      <c r="B42" s="254"/>
      <c r="C42" s="250" t="s">
        <v>168</v>
      </c>
      <c r="D42" s="253">
        <f>D40/D39</f>
        <v>1</v>
      </c>
      <c r="E42" s="253">
        <f>E40/E39</f>
        <v>1</v>
      </c>
      <c r="F42" s="255" t="e">
        <v>#DIV/0!</v>
      </c>
      <c r="G42" s="255" t="e">
        <v>#DIV/0!</v>
      </c>
      <c r="H42" s="255" t="e">
        <v>#DIV/0!</v>
      </c>
      <c r="I42" s="255" t="e">
        <v>#DIV/0!</v>
      </c>
      <c r="J42" s="255" t="e">
        <v>#DIV/0!</v>
      </c>
      <c r="K42" s="255" t="e">
        <v>#DIV/0!</v>
      </c>
      <c r="L42" s="253" t="e">
        <f>L40/L39</f>
        <v>#DIV/0!</v>
      </c>
      <c r="M42" s="255" t="e">
        <v>#DIV/0!</v>
      </c>
      <c r="N42" s="255" t="e">
        <v>#DIV/0!</v>
      </c>
      <c r="O42" s="255" t="e">
        <v>#DIV/0!</v>
      </c>
      <c r="P42" s="255" t="e">
        <v>#DIV/0!</v>
      </c>
      <c r="Q42" s="255" t="e">
        <v>#DIV/0!</v>
      </c>
      <c r="R42" s="255" t="e">
        <v>#DIV/0!</v>
      </c>
      <c r="S42" s="255" t="e">
        <v>#DIV/0!</v>
      </c>
      <c r="T42" s="253" t="e">
        <f>T40/T39</f>
        <v>#DIV/0!</v>
      </c>
      <c r="U42" s="255" t="e">
        <v>#DIV/0!</v>
      </c>
      <c r="V42" s="255" t="e">
        <v>#DIV/0!</v>
      </c>
      <c r="W42" s="255" t="e">
        <v>#DIV/0!</v>
      </c>
      <c r="X42" s="255" t="e">
        <v>#DIV/0!</v>
      </c>
      <c r="Y42" s="255" t="e">
        <v>#DIV/0!</v>
      </c>
      <c r="Z42" s="255" t="e">
        <v>#DIV/0!</v>
      </c>
      <c r="AA42" s="255" t="e">
        <v>#DIV/0!</v>
      </c>
      <c r="AB42" s="253" t="e">
        <f>AB40/AB39</f>
        <v>#DIV/0!</v>
      </c>
      <c r="AC42" s="255" t="e">
        <v>#DIV/0!</v>
      </c>
      <c r="AD42" s="255" t="e">
        <v>#DIV/0!</v>
      </c>
      <c r="AE42" s="255" t="e">
        <v>#DIV/0!</v>
      </c>
      <c r="AF42" s="255" t="e">
        <v>#DIV/0!</v>
      </c>
      <c r="AG42" s="255" t="e">
        <v>#DIV/0!</v>
      </c>
      <c r="AH42" s="255" t="e">
        <v>#DIV/0!</v>
      </c>
      <c r="AI42" s="255" t="e">
        <v>#DIV/0!</v>
      </c>
      <c r="AJ42" s="253" t="e">
        <f>AJ40/AJ39</f>
        <v>#DIV/0!</v>
      </c>
      <c r="AK42" s="269" t="e">
        <v>#DIV/0!</v>
      </c>
    </row>
    <row r="43" s="240" customFormat="1" ht="15" customHeight="1" spans="1:37">
      <c r="A43" s="251"/>
      <c r="B43" s="256" t="s">
        <v>178</v>
      </c>
      <c r="C43" s="257" t="s">
        <v>165</v>
      </c>
      <c r="D43" s="257">
        <f>E43+L43+T43+AB43</f>
        <v>171</v>
      </c>
      <c r="E43" s="250">
        <f>SUM(F43:K43)</f>
        <v>171</v>
      </c>
      <c r="F43" s="257">
        <f t="shared" ref="F43:K43" si="97">+F35+F31+F19+F15+F7+F3</f>
        <v>28</v>
      </c>
      <c r="G43" s="257">
        <f t="shared" si="97"/>
        <v>62</v>
      </c>
      <c r="H43" s="257">
        <f t="shared" si="97"/>
        <v>20</v>
      </c>
      <c r="I43" s="257">
        <f t="shared" si="97"/>
        <v>61</v>
      </c>
      <c r="J43" s="257">
        <f t="shared" si="97"/>
        <v>0</v>
      </c>
      <c r="K43" s="257">
        <f t="shared" si="97"/>
        <v>0</v>
      </c>
      <c r="L43" s="250">
        <f t="shared" ref="L43:L45" si="98">SUM(M43:S43)</f>
        <v>0</v>
      </c>
      <c r="M43" s="257">
        <f t="shared" ref="M43:S43" si="99">+M35+M31+M19+M15+M7+M3</f>
        <v>0</v>
      </c>
      <c r="N43" s="257">
        <f t="shared" si="99"/>
        <v>0</v>
      </c>
      <c r="O43" s="257">
        <f t="shared" si="99"/>
        <v>0</v>
      </c>
      <c r="P43" s="257">
        <f t="shared" si="99"/>
        <v>0</v>
      </c>
      <c r="Q43" s="257">
        <f t="shared" si="99"/>
        <v>0</v>
      </c>
      <c r="R43" s="257">
        <f t="shared" si="99"/>
        <v>0</v>
      </c>
      <c r="S43" s="257">
        <f t="shared" si="99"/>
        <v>0</v>
      </c>
      <c r="T43" s="250">
        <f t="shared" ref="T43:T45" si="100">SUM(U43:AA43)</f>
        <v>0</v>
      </c>
      <c r="U43" s="257">
        <f t="shared" ref="U43:AA43" si="101">+U35+U31+U19+U15+U7+U3</f>
        <v>0</v>
      </c>
      <c r="V43" s="257">
        <f t="shared" si="101"/>
        <v>0</v>
      </c>
      <c r="W43" s="257">
        <f t="shared" si="101"/>
        <v>0</v>
      </c>
      <c r="X43" s="257">
        <f t="shared" si="101"/>
        <v>0</v>
      </c>
      <c r="Y43" s="257">
        <f t="shared" si="101"/>
        <v>0</v>
      </c>
      <c r="Z43" s="257">
        <f t="shared" si="101"/>
        <v>0</v>
      </c>
      <c r="AA43" s="257">
        <f t="shared" si="101"/>
        <v>0</v>
      </c>
      <c r="AB43" s="250">
        <f t="shared" ref="AB43:AB45" si="102">SUM(AC43:AI43)</f>
        <v>0</v>
      </c>
      <c r="AC43" s="257">
        <f>+AC35+AC31+AC19+AC15+AC7+AC3</f>
        <v>0</v>
      </c>
      <c r="AD43" s="257">
        <v>0</v>
      </c>
      <c r="AE43" s="257">
        <v>0</v>
      </c>
      <c r="AF43" s="257">
        <v>0</v>
      </c>
      <c r="AG43" s="257">
        <v>0</v>
      </c>
      <c r="AH43" s="257">
        <v>0</v>
      </c>
      <c r="AI43" s="257">
        <v>0</v>
      </c>
      <c r="AJ43" s="250">
        <f t="shared" ref="AJ43:AJ45" si="103">SUM(AK43:AQ43)</f>
        <v>0</v>
      </c>
      <c r="AK43" s="257">
        <f>+AK35+AK31+AK19+AK15+AK7+AK3</f>
        <v>0</v>
      </c>
    </row>
    <row r="44" s="240" customFormat="1" ht="15" customHeight="1" spans="1:37">
      <c r="A44" s="251"/>
      <c r="B44" s="256"/>
      <c r="C44" s="257" t="s">
        <v>166</v>
      </c>
      <c r="D44" s="257">
        <f>E44+L44+T44+AB44</f>
        <v>142</v>
      </c>
      <c r="E44" s="250">
        <f>SUM(F44:K44)</f>
        <v>142</v>
      </c>
      <c r="F44" s="257">
        <f t="shared" ref="F44:K44" si="104">+F36+F32+F20+F16+F8+F4</f>
        <v>18</v>
      </c>
      <c r="G44" s="257">
        <f t="shared" si="104"/>
        <v>59</v>
      </c>
      <c r="H44" s="257">
        <f t="shared" si="104"/>
        <v>12</v>
      </c>
      <c r="I44" s="257">
        <f t="shared" si="104"/>
        <v>53</v>
      </c>
      <c r="J44" s="257">
        <f t="shared" si="104"/>
        <v>0</v>
      </c>
      <c r="K44" s="257">
        <f t="shared" si="104"/>
        <v>0</v>
      </c>
      <c r="L44" s="250">
        <f t="shared" si="98"/>
        <v>0</v>
      </c>
      <c r="M44" s="257">
        <f t="shared" ref="M44:S44" si="105">+M36+M32+M20+M16+M8+M4</f>
        <v>0</v>
      </c>
      <c r="N44" s="257">
        <f t="shared" si="105"/>
        <v>0</v>
      </c>
      <c r="O44" s="257">
        <f t="shared" si="105"/>
        <v>0</v>
      </c>
      <c r="P44" s="257">
        <f t="shared" si="105"/>
        <v>0</v>
      </c>
      <c r="Q44" s="257">
        <f t="shared" si="105"/>
        <v>0</v>
      </c>
      <c r="R44" s="257">
        <f t="shared" si="105"/>
        <v>0</v>
      </c>
      <c r="S44" s="257">
        <f t="shared" si="105"/>
        <v>0</v>
      </c>
      <c r="T44" s="250">
        <f t="shared" si="100"/>
        <v>0</v>
      </c>
      <c r="U44" s="257">
        <f t="shared" ref="U44:AA44" si="106">+U36+U32+U20+U16+U8+U4</f>
        <v>0</v>
      </c>
      <c r="V44" s="257">
        <f t="shared" si="106"/>
        <v>0</v>
      </c>
      <c r="W44" s="257">
        <f t="shared" si="106"/>
        <v>0</v>
      </c>
      <c r="X44" s="257">
        <f t="shared" si="106"/>
        <v>0</v>
      </c>
      <c r="Y44" s="257">
        <f t="shared" si="106"/>
        <v>0</v>
      </c>
      <c r="Z44" s="257">
        <f t="shared" si="106"/>
        <v>0</v>
      </c>
      <c r="AA44" s="257">
        <f t="shared" si="106"/>
        <v>0</v>
      </c>
      <c r="AB44" s="250">
        <f t="shared" si="102"/>
        <v>0</v>
      </c>
      <c r="AC44" s="257">
        <f>+AC36+AC32+AC20+AC16+AC8+AC4</f>
        <v>0</v>
      </c>
      <c r="AD44" s="257">
        <v>0</v>
      </c>
      <c r="AE44" s="257">
        <v>0</v>
      </c>
      <c r="AF44" s="257">
        <v>0</v>
      </c>
      <c r="AG44" s="257">
        <v>0</v>
      </c>
      <c r="AH44" s="257">
        <v>0</v>
      </c>
      <c r="AI44" s="257">
        <v>0</v>
      </c>
      <c r="AJ44" s="250">
        <f t="shared" si="103"/>
        <v>0</v>
      </c>
      <c r="AK44" s="257">
        <f>+AK36+AK32+AK20+AK16+AK8+AK4</f>
        <v>0</v>
      </c>
    </row>
    <row r="45" s="240" customFormat="1" ht="15" customHeight="1" spans="1:37">
      <c r="A45" s="251"/>
      <c r="B45" s="256"/>
      <c r="C45" s="257" t="s">
        <v>167</v>
      </c>
      <c r="D45" s="257">
        <f>D43-D44</f>
        <v>29</v>
      </c>
      <c r="E45" s="250">
        <f>E43-E44</f>
        <v>29</v>
      </c>
      <c r="F45" s="257">
        <f t="shared" ref="F45:K45" si="107">+F29+F41+F13</f>
        <v>20</v>
      </c>
      <c r="G45" s="257">
        <f t="shared" si="107"/>
        <v>4</v>
      </c>
      <c r="H45" s="257">
        <f t="shared" si="107"/>
        <v>12</v>
      </c>
      <c r="I45" s="257">
        <f t="shared" si="107"/>
        <v>4</v>
      </c>
      <c r="J45" s="257">
        <f t="shared" si="107"/>
        <v>0</v>
      </c>
      <c r="K45" s="257">
        <f t="shared" si="107"/>
        <v>0</v>
      </c>
      <c r="L45" s="250">
        <f t="shared" si="98"/>
        <v>0</v>
      </c>
      <c r="M45" s="257">
        <v>0</v>
      </c>
      <c r="N45" s="257">
        <v>0</v>
      </c>
      <c r="O45" s="257">
        <v>0</v>
      </c>
      <c r="P45" s="257">
        <v>0</v>
      </c>
      <c r="Q45" s="257">
        <v>0</v>
      </c>
      <c r="R45" s="257">
        <v>0</v>
      </c>
      <c r="S45" s="257">
        <v>0</v>
      </c>
      <c r="T45" s="250">
        <f t="shared" si="100"/>
        <v>0</v>
      </c>
      <c r="U45" s="257">
        <v>0</v>
      </c>
      <c r="V45" s="257">
        <v>0</v>
      </c>
      <c r="W45" s="257">
        <v>0</v>
      </c>
      <c r="X45" s="257">
        <v>0</v>
      </c>
      <c r="Y45" s="257">
        <v>0</v>
      </c>
      <c r="Z45" s="257">
        <v>0</v>
      </c>
      <c r="AA45" s="257">
        <v>0</v>
      </c>
      <c r="AB45" s="250">
        <f t="shared" si="102"/>
        <v>0</v>
      </c>
      <c r="AC45" s="257">
        <v>0</v>
      </c>
      <c r="AD45" s="257">
        <v>0</v>
      </c>
      <c r="AE45" s="257">
        <v>0</v>
      </c>
      <c r="AF45" s="257">
        <v>0</v>
      </c>
      <c r="AG45" s="257">
        <v>0</v>
      </c>
      <c r="AH45" s="257">
        <v>0</v>
      </c>
      <c r="AI45" s="257">
        <v>0</v>
      </c>
      <c r="AJ45" s="250">
        <f t="shared" si="103"/>
        <v>0</v>
      </c>
      <c r="AK45" s="270">
        <v>0</v>
      </c>
    </row>
    <row r="46" s="240" customFormat="1" ht="15" customHeight="1" spans="1:37">
      <c r="A46" s="258"/>
      <c r="B46" s="259"/>
      <c r="C46" s="260" t="s">
        <v>168</v>
      </c>
      <c r="D46" s="261">
        <f t="shared" ref="D46:AK46" si="108">D44/D43</f>
        <v>0.830409356725146</v>
      </c>
      <c r="E46" s="262">
        <f t="shared" si="108"/>
        <v>0.830409356725146</v>
      </c>
      <c r="F46" s="261">
        <f t="shared" si="108"/>
        <v>0.642857142857143</v>
      </c>
      <c r="G46" s="261">
        <f t="shared" si="108"/>
        <v>0.951612903225806</v>
      </c>
      <c r="H46" s="261">
        <f t="shared" si="108"/>
        <v>0.6</v>
      </c>
      <c r="I46" s="261">
        <f t="shared" si="108"/>
        <v>0.868852459016393</v>
      </c>
      <c r="J46" s="261" t="e">
        <f t="shared" si="108"/>
        <v>#DIV/0!</v>
      </c>
      <c r="K46" s="261" t="e">
        <f t="shared" si="108"/>
        <v>#DIV/0!</v>
      </c>
      <c r="L46" s="263" t="e">
        <f t="shared" si="108"/>
        <v>#DIV/0!</v>
      </c>
      <c r="M46" s="261" t="e">
        <f t="shared" si="108"/>
        <v>#DIV/0!</v>
      </c>
      <c r="N46" s="261" t="e">
        <f t="shared" si="108"/>
        <v>#DIV/0!</v>
      </c>
      <c r="O46" s="261" t="e">
        <f t="shared" si="108"/>
        <v>#DIV/0!</v>
      </c>
      <c r="P46" s="261" t="e">
        <f t="shared" si="108"/>
        <v>#DIV/0!</v>
      </c>
      <c r="Q46" s="261" t="e">
        <f t="shared" si="108"/>
        <v>#DIV/0!</v>
      </c>
      <c r="R46" s="261" t="e">
        <f t="shared" si="108"/>
        <v>#DIV/0!</v>
      </c>
      <c r="S46" s="261" t="e">
        <f t="shared" si="108"/>
        <v>#DIV/0!</v>
      </c>
      <c r="T46" s="263" t="e">
        <f t="shared" si="108"/>
        <v>#DIV/0!</v>
      </c>
      <c r="U46" s="261" t="e">
        <f t="shared" si="108"/>
        <v>#DIV/0!</v>
      </c>
      <c r="V46" s="261" t="e">
        <f t="shared" si="108"/>
        <v>#DIV/0!</v>
      </c>
      <c r="W46" s="261" t="e">
        <f t="shared" si="108"/>
        <v>#DIV/0!</v>
      </c>
      <c r="X46" s="261" t="e">
        <f t="shared" si="108"/>
        <v>#DIV/0!</v>
      </c>
      <c r="Y46" s="261" t="e">
        <f t="shared" si="108"/>
        <v>#DIV/0!</v>
      </c>
      <c r="Z46" s="261" t="e">
        <f t="shared" si="108"/>
        <v>#DIV/0!</v>
      </c>
      <c r="AA46" s="261" t="e">
        <f t="shared" si="108"/>
        <v>#DIV/0!</v>
      </c>
      <c r="AB46" s="263" t="e">
        <f t="shared" si="108"/>
        <v>#DIV/0!</v>
      </c>
      <c r="AC46" s="261" t="e">
        <f t="shared" si="108"/>
        <v>#DIV/0!</v>
      </c>
      <c r="AD46" s="261" t="e">
        <f t="shared" si="108"/>
        <v>#DIV/0!</v>
      </c>
      <c r="AE46" s="261" t="e">
        <f t="shared" si="108"/>
        <v>#DIV/0!</v>
      </c>
      <c r="AF46" s="261" t="e">
        <f t="shared" si="108"/>
        <v>#DIV/0!</v>
      </c>
      <c r="AG46" s="261" t="e">
        <f t="shared" si="108"/>
        <v>#DIV/0!</v>
      </c>
      <c r="AH46" s="261" t="e">
        <f t="shared" si="108"/>
        <v>#DIV/0!</v>
      </c>
      <c r="AI46" s="261" t="e">
        <f t="shared" si="108"/>
        <v>#DIV/0!</v>
      </c>
      <c r="AJ46" s="263" t="e">
        <f t="shared" si="108"/>
        <v>#DIV/0!</v>
      </c>
      <c r="AK46" s="271" t="e">
        <f t="shared" si="108"/>
        <v>#DIV/0!</v>
      </c>
    </row>
  </sheetData>
  <mergeCells count="13">
    <mergeCell ref="B1:AK1"/>
    <mergeCell ref="A3:A46"/>
    <mergeCell ref="B3:B6"/>
    <mergeCell ref="B7:B10"/>
    <mergeCell ref="B11:B14"/>
    <mergeCell ref="B15:B18"/>
    <mergeCell ref="B19:B22"/>
    <mergeCell ref="B23:B26"/>
    <mergeCell ref="B27:B30"/>
    <mergeCell ref="B31:B34"/>
    <mergeCell ref="B35:B38"/>
    <mergeCell ref="B39:B42"/>
    <mergeCell ref="B43:B46"/>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AM419"/>
  <sheetViews>
    <sheetView zoomScale="70" zoomScaleNormal="70" workbookViewId="0">
      <pane xSplit="3" ySplit="4" topLeftCell="D398" activePane="bottomRight" state="frozen"/>
      <selection/>
      <selection pane="topRight"/>
      <selection pane="bottomLeft"/>
      <selection pane="bottomRight" activeCell="B407" sqref="B407"/>
    </sheetView>
  </sheetViews>
  <sheetFormatPr defaultColWidth="9" defaultRowHeight="16.5"/>
  <cols>
    <col min="1" max="1" width="1.66666666666667" style="54" customWidth="1"/>
    <col min="2" max="2" width="18.775" style="55" customWidth="1"/>
    <col min="3" max="3" width="26.4416666666667" style="54" customWidth="1"/>
    <col min="4" max="4" width="11.8916666666667" style="54" customWidth="1"/>
    <col min="5" max="5" width="12.225" style="56" customWidth="1"/>
    <col min="6" max="6" width="12.225" style="57" customWidth="1" outlineLevel="1"/>
    <col min="7" max="19" width="12.225" style="58" customWidth="1" outlineLevel="1"/>
    <col min="20" max="22" width="12.225" style="58" customWidth="1"/>
    <col min="23" max="23" width="12.225" style="59" customWidth="1"/>
    <col min="24" max="24" width="12.225" style="58" customWidth="1"/>
    <col min="25" max="26" width="12.225" style="60" customWidth="1"/>
    <col min="27" max="30" width="12.225" style="58" customWidth="1"/>
    <col min="31" max="31" width="12.225" style="60" customWidth="1"/>
    <col min="32" max="36" width="12.225" style="58" customWidth="1"/>
    <col min="37" max="256" width="9" style="57"/>
    <col min="257" max="257" width="1.66666666666667" style="57" customWidth="1"/>
    <col min="258" max="258" width="18.775" style="57" customWidth="1"/>
    <col min="259" max="259" width="18.4416666666667" style="57" customWidth="1"/>
    <col min="260" max="260" width="11.8916666666667" style="57" customWidth="1"/>
    <col min="261" max="261" width="12.225" style="57" customWidth="1"/>
    <col min="262" max="275" width="9" style="57" hidden="1" customWidth="1"/>
    <col min="276" max="292" width="12.225" style="57" customWidth="1"/>
    <col min="293" max="512" width="9" style="57"/>
    <col min="513" max="513" width="1.66666666666667" style="57" customWidth="1"/>
    <col min="514" max="514" width="18.775" style="57" customWidth="1"/>
    <col min="515" max="515" width="18.4416666666667" style="57" customWidth="1"/>
    <col min="516" max="516" width="11.8916666666667" style="57" customWidth="1"/>
    <col min="517" max="517" width="12.225" style="57" customWidth="1"/>
    <col min="518" max="531" width="9" style="57" hidden="1" customWidth="1"/>
    <col min="532" max="548" width="12.225" style="57" customWidth="1"/>
    <col min="549" max="768" width="9" style="57"/>
    <col min="769" max="769" width="1.66666666666667" style="57" customWidth="1"/>
    <col min="770" max="770" width="18.775" style="57" customWidth="1"/>
    <col min="771" max="771" width="18.4416666666667" style="57" customWidth="1"/>
    <col min="772" max="772" width="11.8916666666667" style="57" customWidth="1"/>
    <col min="773" max="773" width="12.225" style="57" customWidth="1"/>
    <col min="774" max="787" width="9" style="57" hidden="1" customWidth="1"/>
    <col min="788" max="804" width="12.225" style="57" customWidth="1"/>
    <col min="805" max="1024" width="9" style="57"/>
    <col min="1025" max="1025" width="1.66666666666667" style="57" customWidth="1"/>
    <col min="1026" max="1026" width="18.775" style="57" customWidth="1"/>
    <col min="1027" max="1027" width="18.4416666666667" style="57" customWidth="1"/>
    <col min="1028" max="1028" width="11.8916666666667" style="57" customWidth="1"/>
    <col min="1029" max="1029" width="12.225" style="57" customWidth="1"/>
    <col min="1030" max="1043" width="9" style="57" hidden="1" customWidth="1"/>
    <col min="1044" max="1060" width="12.225" style="57" customWidth="1"/>
    <col min="1061" max="1280" width="9" style="57"/>
    <col min="1281" max="1281" width="1.66666666666667" style="57" customWidth="1"/>
    <col min="1282" max="1282" width="18.775" style="57" customWidth="1"/>
    <col min="1283" max="1283" width="18.4416666666667" style="57" customWidth="1"/>
    <col min="1284" max="1284" width="11.8916666666667" style="57" customWidth="1"/>
    <col min="1285" max="1285" width="12.225" style="57" customWidth="1"/>
    <col min="1286" max="1299" width="9" style="57" hidden="1" customWidth="1"/>
    <col min="1300" max="1316" width="12.225" style="57" customWidth="1"/>
    <col min="1317" max="1536" width="9" style="57"/>
    <col min="1537" max="1537" width="1.66666666666667" style="57" customWidth="1"/>
    <col min="1538" max="1538" width="18.775" style="57" customWidth="1"/>
    <col min="1539" max="1539" width="18.4416666666667" style="57" customWidth="1"/>
    <col min="1540" max="1540" width="11.8916666666667" style="57" customWidth="1"/>
    <col min="1541" max="1541" width="12.225" style="57" customWidth="1"/>
    <col min="1542" max="1555" width="9" style="57" hidden="1" customWidth="1"/>
    <col min="1556" max="1572" width="12.225" style="57" customWidth="1"/>
    <col min="1573" max="1792" width="9" style="57"/>
    <col min="1793" max="1793" width="1.66666666666667" style="57" customWidth="1"/>
    <col min="1794" max="1794" width="18.775" style="57" customWidth="1"/>
    <col min="1795" max="1795" width="18.4416666666667" style="57" customWidth="1"/>
    <col min="1796" max="1796" width="11.8916666666667" style="57" customWidth="1"/>
    <col min="1797" max="1797" width="12.225" style="57" customWidth="1"/>
    <col min="1798" max="1811" width="9" style="57" hidden="1" customWidth="1"/>
    <col min="1812" max="1828" width="12.225" style="57" customWidth="1"/>
    <col min="1829" max="2048" width="9" style="57"/>
    <col min="2049" max="2049" width="1.66666666666667" style="57" customWidth="1"/>
    <col min="2050" max="2050" width="18.775" style="57" customWidth="1"/>
    <col min="2051" max="2051" width="18.4416666666667" style="57" customWidth="1"/>
    <col min="2052" max="2052" width="11.8916666666667" style="57" customWidth="1"/>
    <col min="2053" max="2053" width="12.225" style="57" customWidth="1"/>
    <col min="2054" max="2067" width="9" style="57" hidden="1" customWidth="1"/>
    <col min="2068" max="2084" width="12.225" style="57" customWidth="1"/>
    <col min="2085" max="2304" width="9" style="57"/>
    <col min="2305" max="2305" width="1.66666666666667" style="57" customWidth="1"/>
    <col min="2306" max="2306" width="18.775" style="57" customWidth="1"/>
    <col min="2307" max="2307" width="18.4416666666667" style="57" customWidth="1"/>
    <col min="2308" max="2308" width="11.8916666666667" style="57" customWidth="1"/>
    <col min="2309" max="2309" width="12.225" style="57" customWidth="1"/>
    <col min="2310" max="2323" width="9" style="57" hidden="1" customWidth="1"/>
    <col min="2324" max="2340" width="12.225" style="57" customWidth="1"/>
    <col min="2341" max="2560" width="9" style="57"/>
    <col min="2561" max="2561" width="1.66666666666667" style="57" customWidth="1"/>
    <col min="2562" max="2562" width="18.775" style="57" customWidth="1"/>
    <col min="2563" max="2563" width="18.4416666666667" style="57" customWidth="1"/>
    <col min="2564" max="2564" width="11.8916666666667" style="57" customWidth="1"/>
    <col min="2565" max="2565" width="12.225" style="57" customWidth="1"/>
    <col min="2566" max="2579" width="9" style="57" hidden="1" customWidth="1"/>
    <col min="2580" max="2596" width="12.225" style="57" customWidth="1"/>
    <col min="2597" max="2816" width="9" style="57"/>
    <col min="2817" max="2817" width="1.66666666666667" style="57" customWidth="1"/>
    <col min="2818" max="2818" width="18.775" style="57" customWidth="1"/>
    <col min="2819" max="2819" width="18.4416666666667" style="57" customWidth="1"/>
    <col min="2820" max="2820" width="11.8916666666667" style="57" customWidth="1"/>
    <col min="2821" max="2821" width="12.225" style="57" customWidth="1"/>
    <col min="2822" max="2835" width="9" style="57" hidden="1" customWidth="1"/>
    <col min="2836" max="2852" width="12.225" style="57" customWidth="1"/>
    <col min="2853" max="3072" width="9" style="57"/>
    <col min="3073" max="3073" width="1.66666666666667" style="57" customWidth="1"/>
    <col min="3074" max="3074" width="18.775" style="57" customWidth="1"/>
    <col min="3075" max="3075" width="18.4416666666667" style="57" customWidth="1"/>
    <col min="3076" max="3076" width="11.8916666666667" style="57" customWidth="1"/>
    <col min="3077" max="3077" width="12.225" style="57" customWidth="1"/>
    <col min="3078" max="3091" width="9" style="57" hidden="1" customWidth="1"/>
    <col min="3092" max="3108" width="12.225" style="57" customWidth="1"/>
    <col min="3109" max="3328" width="9" style="57"/>
    <col min="3329" max="3329" width="1.66666666666667" style="57" customWidth="1"/>
    <col min="3330" max="3330" width="18.775" style="57" customWidth="1"/>
    <col min="3331" max="3331" width="18.4416666666667" style="57" customWidth="1"/>
    <col min="3332" max="3332" width="11.8916666666667" style="57" customWidth="1"/>
    <col min="3333" max="3333" width="12.225" style="57" customWidth="1"/>
    <col min="3334" max="3347" width="9" style="57" hidden="1" customWidth="1"/>
    <col min="3348" max="3364" width="12.225" style="57" customWidth="1"/>
    <col min="3365" max="3584" width="9" style="57"/>
    <col min="3585" max="3585" width="1.66666666666667" style="57" customWidth="1"/>
    <col min="3586" max="3586" width="18.775" style="57" customWidth="1"/>
    <col min="3587" max="3587" width="18.4416666666667" style="57" customWidth="1"/>
    <col min="3588" max="3588" width="11.8916666666667" style="57" customWidth="1"/>
    <col min="3589" max="3589" width="12.225" style="57" customWidth="1"/>
    <col min="3590" max="3603" width="9" style="57" hidden="1" customWidth="1"/>
    <col min="3604" max="3620" width="12.225" style="57" customWidth="1"/>
    <col min="3621" max="3840" width="9" style="57"/>
    <col min="3841" max="3841" width="1.66666666666667" style="57" customWidth="1"/>
    <col min="3842" max="3842" width="18.775" style="57" customWidth="1"/>
    <col min="3843" max="3843" width="18.4416666666667" style="57" customWidth="1"/>
    <col min="3844" max="3844" width="11.8916666666667" style="57" customWidth="1"/>
    <col min="3845" max="3845" width="12.225" style="57" customWidth="1"/>
    <col min="3846" max="3859" width="9" style="57" hidden="1" customWidth="1"/>
    <col min="3860" max="3876" width="12.225" style="57" customWidth="1"/>
    <col min="3877" max="4096" width="9" style="57"/>
    <col min="4097" max="4097" width="1.66666666666667" style="57" customWidth="1"/>
    <col min="4098" max="4098" width="18.775" style="57" customWidth="1"/>
    <col min="4099" max="4099" width="18.4416666666667" style="57" customWidth="1"/>
    <col min="4100" max="4100" width="11.8916666666667" style="57" customWidth="1"/>
    <col min="4101" max="4101" width="12.225" style="57" customWidth="1"/>
    <col min="4102" max="4115" width="9" style="57" hidden="1" customWidth="1"/>
    <col min="4116" max="4132" width="12.225" style="57" customWidth="1"/>
    <col min="4133" max="4352" width="9" style="57"/>
    <col min="4353" max="4353" width="1.66666666666667" style="57" customWidth="1"/>
    <col min="4354" max="4354" width="18.775" style="57" customWidth="1"/>
    <col min="4355" max="4355" width="18.4416666666667" style="57" customWidth="1"/>
    <col min="4356" max="4356" width="11.8916666666667" style="57" customWidth="1"/>
    <col min="4357" max="4357" width="12.225" style="57" customWidth="1"/>
    <col min="4358" max="4371" width="9" style="57" hidden="1" customWidth="1"/>
    <col min="4372" max="4388" width="12.225" style="57" customWidth="1"/>
    <col min="4389" max="4608" width="9" style="57"/>
    <col min="4609" max="4609" width="1.66666666666667" style="57" customWidth="1"/>
    <col min="4610" max="4610" width="18.775" style="57" customWidth="1"/>
    <col min="4611" max="4611" width="18.4416666666667" style="57" customWidth="1"/>
    <col min="4612" max="4612" width="11.8916666666667" style="57" customWidth="1"/>
    <col min="4613" max="4613" width="12.225" style="57" customWidth="1"/>
    <col min="4614" max="4627" width="9" style="57" hidden="1" customWidth="1"/>
    <col min="4628" max="4644" width="12.225" style="57" customWidth="1"/>
    <col min="4645" max="4864" width="9" style="57"/>
    <col min="4865" max="4865" width="1.66666666666667" style="57" customWidth="1"/>
    <col min="4866" max="4866" width="18.775" style="57" customWidth="1"/>
    <col min="4867" max="4867" width="18.4416666666667" style="57" customWidth="1"/>
    <col min="4868" max="4868" width="11.8916666666667" style="57" customWidth="1"/>
    <col min="4869" max="4869" width="12.225" style="57" customWidth="1"/>
    <col min="4870" max="4883" width="9" style="57" hidden="1" customWidth="1"/>
    <col min="4884" max="4900" width="12.225" style="57" customWidth="1"/>
    <col min="4901" max="5120" width="9" style="57"/>
    <col min="5121" max="5121" width="1.66666666666667" style="57" customWidth="1"/>
    <col min="5122" max="5122" width="18.775" style="57" customWidth="1"/>
    <col min="5123" max="5123" width="18.4416666666667" style="57" customWidth="1"/>
    <col min="5124" max="5124" width="11.8916666666667" style="57" customWidth="1"/>
    <col min="5125" max="5125" width="12.225" style="57" customWidth="1"/>
    <col min="5126" max="5139" width="9" style="57" hidden="1" customWidth="1"/>
    <col min="5140" max="5156" width="12.225" style="57" customWidth="1"/>
    <col min="5157" max="5376" width="9" style="57"/>
    <col min="5377" max="5377" width="1.66666666666667" style="57" customWidth="1"/>
    <col min="5378" max="5378" width="18.775" style="57" customWidth="1"/>
    <col min="5379" max="5379" width="18.4416666666667" style="57" customWidth="1"/>
    <col min="5380" max="5380" width="11.8916666666667" style="57" customWidth="1"/>
    <col min="5381" max="5381" width="12.225" style="57" customWidth="1"/>
    <col min="5382" max="5395" width="9" style="57" hidden="1" customWidth="1"/>
    <col min="5396" max="5412" width="12.225" style="57" customWidth="1"/>
    <col min="5413" max="5632" width="9" style="57"/>
    <col min="5633" max="5633" width="1.66666666666667" style="57" customWidth="1"/>
    <col min="5634" max="5634" width="18.775" style="57" customWidth="1"/>
    <col min="5635" max="5635" width="18.4416666666667" style="57" customWidth="1"/>
    <col min="5636" max="5636" width="11.8916666666667" style="57" customWidth="1"/>
    <col min="5637" max="5637" width="12.225" style="57" customWidth="1"/>
    <col min="5638" max="5651" width="9" style="57" hidden="1" customWidth="1"/>
    <col min="5652" max="5668" width="12.225" style="57" customWidth="1"/>
    <col min="5669" max="5888" width="9" style="57"/>
    <col min="5889" max="5889" width="1.66666666666667" style="57" customWidth="1"/>
    <col min="5890" max="5890" width="18.775" style="57" customWidth="1"/>
    <col min="5891" max="5891" width="18.4416666666667" style="57" customWidth="1"/>
    <col min="5892" max="5892" width="11.8916666666667" style="57" customWidth="1"/>
    <col min="5893" max="5893" width="12.225" style="57" customWidth="1"/>
    <col min="5894" max="5907" width="9" style="57" hidden="1" customWidth="1"/>
    <col min="5908" max="5924" width="12.225" style="57" customWidth="1"/>
    <col min="5925" max="6144" width="9" style="57"/>
    <col min="6145" max="6145" width="1.66666666666667" style="57" customWidth="1"/>
    <col min="6146" max="6146" width="18.775" style="57" customWidth="1"/>
    <col min="6147" max="6147" width="18.4416666666667" style="57" customWidth="1"/>
    <col min="6148" max="6148" width="11.8916666666667" style="57" customWidth="1"/>
    <col min="6149" max="6149" width="12.225" style="57" customWidth="1"/>
    <col min="6150" max="6163" width="9" style="57" hidden="1" customWidth="1"/>
    <col min="6164" max="6180" width="12.225" style="57" customWidth="1"/>
    <col min="6181" max="6400" width="9" style="57"/>
    <col min="6401" max="6401" width="1.66666666666667" style="57" customWidth="1"/>
    <col min="6402" max="6402" width="18.775" style="57" customWidth="1"/>
    <col min="6403" max="6403" width="18.4416666666667" style="57" customWidth="1"/>
    <col min="6404" max="6404" width="11.8916666666667" style="57" customWidth="1"/>
    <col min="6405" max="6405" width="12.225" style="57" customWidth="1"/>
    <col min="6406" max="6419" width="9" style="57" hidden="1" customWidth="1"/>
    <col min="6420" max="6436" width="12.225" style="57" customWidth="1"/>
    <col min="6437" max="6656" width="9" style="57"/>
    <col min="6657" max="6657" width="1.66666666666667" style="57" customWidth="1"/>
    <col min="6658" max="6658" width="18.775" style="57" customWidth="1"/>
    <col min="6659" max="6659" width="18.4416666666667" style="57" customWidth="1"/>
    <col min="6660" max="6660" width="11.8916666666667" style="57" customWidth="1"/>
    <col min="6661" max="6661" width="12.225" style="57" customWidth="1"/>
    <col min="6662" max="6675" width="9" style="57" hidden="1" customWidth="1"/>
    <col min="6676" max="6692" width="12.225" style="57" customWidth="1"/>
    <col min="6693" max="6912" width="9" style="57"/>
    <col min="6913" max="6913" width="1.66666666666667" style="57" customWidth="1"/>
    <col min="6914" max="6914" width="18.775" style="57" customWidth="1"/>
    <col min="6915" max="6915" width="18.4416666666667" style="57" customWidth="1"/>
    <col min="6916" max="6916" width="11.8916666666667" style="57" customWidth="1"/>
    <col min="6917" max="6917" width="12.225" style="57" customWidth="1"/>
    <col min="6918" max="6931" width="9" style="57" hidden="1" customWidth="1"/>
    <col min="6932" max="6948" width="12.225" style="57" customWidth="1"/>
    <col min="6949" max="7168" width="9" style="57"/>
    <col min="7169" max="7169" width="1.66666666666667" style="57" customWidth="1"/>
    <col min="7170" max="7170" width="18.775" style="57" customWidth="1"/>
    <col min="7171" max="7171" width="18.4416666666667" style="57" customWidth="1"/>
    <col min="7172" max="7172" width="11.8916666666667" style="57" customWidth="1"/>
    <col min="7173" max="7173" width="12.225" style="57" customWidth="1"/>
    <col min="7174" max="7187" width="9" style="57" hidden="1" customWidth="1"/>
    <col min="7188" max="7204" width="12.225" style="57" customWidth="1"/>
    <col min="7205" max="7424" width="9" style="57"/>
    <col min="7425" max="7425" width="1.66666666666667" style="57" customWidth="1"/>
    <col min="7426" max="7426" width="18.775" style="57" customWidth="1"/>
    <col min="7427" max="7427" width="18.4416666666667" style="57" customWidth="1"/>
    <col min="7428" max="7428" width="11.8916666666667" style="57" customWidth="1"/>
    <col min="7429" max="7429" width="12.225" style="57" customWidth="1"/>
    <col min="7430" max="7443" width="9" style="57" hidden="1" customWidth="1"/>
    <col min="7444" max="7460" width="12.225" style="57" customWidth="1"/>
    <col min="7461" max="7680" width="9" style="57"/>
    <col min="7681" max="7681" width="1.66666666666667" style="57" customWidth="1"/>
    <col min="7682" max="7682" width="18.775" style="57" customWidth="1"/>
    <col min="7683" max="7683" width="18.4416666666667" style="57" customWidth="1"/>
    <col min="7684" max="7684" width="11.8916666666667" style="57" customWidth="1"/>
    <col min="7685" max="7685" width="12.225" style="57" customWidth="1"/>
    <col min="7686" max="7699" width="9" style="57" hidden="1" customWidth="1"/>
    <col min="7700" max="7716" width="12.225" style="57" customWidth="1"/>
    <col min="7717" max="7936" width="9" style="57"/>
    <col min="7937" max="7937" width="1.66666666666667" style="57" customWidth="1"/>
    <col min="7938" max="7938" width="18.775" style="57" customWidth="1"/>
    <col min="7939" max="7939" width="18.4416666666667" style="57" customWidth="1"/>
    <col min="7940" max="7940" width="11.8916666666667" style="57" customWidth="1"/>
    <col min="7941" max="7941" width="12.225" style="57" customWidth="1"/>
    <col min="7942" max="7955" width="9" style="57" hidden="1" customWidth="1"/>
    <col min="7956" max="7972" width="12.225" style="57" customWidth="1"/>
    <col min="7973" max="8192" width="9" style="57"/>
    <col min="8193" max="8193" width="1.66666666666667" style="57" customWidth="1"/>
    <col min="8194" max="8194" width="18.775" style="57" customWidth="1"/>
    <col min="8195" max="8195" width="18.4416666666667" style="57" customWidth="1"/>
    <col min="8196" max="8196" width="11.8916666666667" style="57" customWidth="1"/>
    <col min="8197" max="8197" width="12.225" style="57" customWidth="1"/>
    <col min="8198" max="8211" width="9" style="57" hidden="1" customWidth="1"/>
    <col min="8212" max="8228" width="12.225" style="57" customWidth="1"/>
    <col min="8229" max="8448" width="9" style="57"/>
    <col min="8449" max="8449" width="1.66666666666667" style="57" customWidth="1"/>
    <col min="8450" max="8450" width="18.775" style="57" customWidth="1"/>
    <col min="8451" max="8451" width="18.4416666666667" style="57" customWidth="1"/>
    <col min="8452" max="8452" width="11.8916666666667" style="57" customWidth="1"/>
    <col min="8453" max="8453" width="12.225" style="57" customWidth="1"/>
    <col min="8454" max="8467" width="9" style="57" hidden="1" customWidth="1"/>
    <col min="8468" max="8484" width="12.225" style="57" customWidth="1"/>
    <col min="8485" max="8704" width="9" style="57"/>
    <col min="8705" max="8705" width="1.66666666666667" style="57" customWidth="1"/>
    <col min="8706" max="8706" width="18.775" style="57" customWidth="1"/>
    <col min="8707" max="8707" width="18.4416666666667" style="57" customWidth="1"/>
    <col min="8708" max="8708" width="11.8916666666667" style="57" customWidth="1"/>
    <col min="8709" max="8709" width="12.225" style="57" customWidth="1"/>
    <col min="8710" max="8723" width="9" style="57" hidden="1" customWidth="1"/>
    <col min="8724" max="8740" width="12.225" style="57" customWidth="1"/>
    <col min="8741" max="8960" width="9" style="57"/>
    <col min="8961" max="8961" width="1.66666666666667" style="57" customWidth="1"/>
    <col min="8962" max="8962" width="18.775" style="57" customWidth="1"/>
    <col min="8963" max="8963" width="18.4416666666667" style="57" customWidth="1"/>
    <col min="8964" max="8964" width="11.8916666666667" style="57" customWidth="1"/>
    <col min="8965" max="8965" width="12.225" style="57" customWidth="1"/>
    <col min="8966" max="8979" width="9" style="57" hidden="1" customWidth="1"/>
    <col min="8980" max="8996" width="12.225" style="57" customWidth="1"/>
    <col min="8997" max="9216" width="9" style="57"/>
    <col min="9217" max="9217" width="1.66666666666667" style="57" customWidth="1"/>
    <col min="9218" max="9218" width="18.775" style="57" customWidth="1"/>
    <col min="9219" max="9219" width="18.4416666666667" style="57" customWidth="1"/>
    <col min="9220" max="9220" width="11.8916666666667" style="57" customWidth="1"/>
    <col min="9221" max="9221" width="12.225" style="57" customWidth="1"/>
    <col min="9222" max="9235" width="9" style="57" hidden="1" customWidth="1"/>
    <col min="9236" max="9252" width="12.225" style="57" customWidth="1"/>
    <col min="9253" max="9472" width="9" style="57"/>
    <col min="9473" max="9473" width="1.66666666666667" style="57" customWidth="1"/>
    <col min="9474" max="9474" width="18.775" style="57" customWidth="1"/>
    <col min="9475" max="9475" width="18.4416666666667" style="57" customWidth="1"/>
    <col min="9476" max="9476" width="11.8916666666667" style="57" customWidth="1"/>
    <col min="9477" max="9477" width="12.225" style="57" customWidth="1"/>
    <col min="9478" max="9491" width="9" style="57" hidden="1" customWidth="1"/>
    <col min="9492" max="9508" width="12.225" style="57" customWidth="1"/>
    <col min="9509" max="9728" width="9" style="57"/>
    <col min="9729" max="9729" width="1.66666666666667" style="57" customWidth="1"/>
    <col min="9730" max="9730" width="18.775" style="57" customWidth="1"/>
    <col min="9731" max="9731" width="18.4416666666667" style="57" customWidth="1"/>
    <col min="9732" max="9732" width="11.8916666666667" style="57" customWidth="1"/>
    <col min="9733" max="9733" width="12.225" style="57" customWidth="1"/>
    <col min="9734" max="9747" width="9" style="57" hidden="1" customWidth="1"/>
    <col min="9748" max="9764" width="12.225" style="57" customWidth="1"/>
    <col min="9765" max="9984" width="9" style="57"/>
    <col min="9985" max="9985" width="1.66666666666667" style="57" customWidth="1"/>
    <col min="9986" max="9986" width="18.775" style="57" customWidth="1"/>
    <col min="9987" max="9987" width="18.4416666666667" style="57" customWidth="1"/>
    <col min="9988" max="9988" width="11.8916666666667" style="57" customWidth="1"/>
    <col min="9989" max="9989" width="12.225" style="57" customWidth="1"/>
    <col min="9990" max="10003" width="9" style="57" hidden="1" customWidth="1"/>
    <col min="10004" max="10020" width="12.225" style="57" customWidth="1"/>
    <col min="10021" max="10240" width="9" style="57"/>
    <col min="10241" max="10241" width="1.66666666666667" style="57" customWidth="1"/>
    <col min="10242" max="10242" width="18.775" style="57" customWidth="1"/>
    <col min="10243" max="10243" width="18.4416666666667" style="57" customWidth="1"/>
    <col min="10244" max="10244" width="11.8916666666667" style="57" customWidth="1"/>
    <col min="10245" max="10245" width="12.225" style="57" customWidth="1"/>
    <col min="10246" max="10259" width="9" style="57" hidden="1" customWidth="1"/>
    <col min="10260" max="10276" width="12.225" style="57" customWidth="1"/>
    <col min="10277" max="10496" width="9" style="57"/>
    <col min="10497" max="10497" width="1.66666666666667" style="57" customWidth="1"/>
    <col min="10498" max="10498" width="18.775" style="57" customWidth="1"/>
    <col min="10499" max="10499" width="18.4416666666667" style="57" customWidth="1"/>
    <col min="10500" max="10500" width="11.8916666666667" style="57" customWidth="1"/>
    <col min="10501" max="10501" width="12.225" style="57" customWidth="1"/>
    <col min="10502" max="10515" width="9" style="57" hidden="1" customWidth="1"/>
    <col min="10516" max="10532" width="12.225" style="57" customWidth="1"/>
    <col min="10533" max="10752" width="9" style="57"/>
    <col min="10753" max="10753" width="1.66666666666667" style="57" customWidth="1"/>
    <col min="10754" max="10754" width="18.775" style="57" customWidth="1"/>
    <col min="10755" max="10755" width="18.4416666666667" style="57" customWidth="1"/>
    <col min="10756" max="10756" width="11.8916666666667" style="57" customWidth="1"/>
    <col min="10757" max="10757" width="12.225" style="57" customWidth="1"/>
    <col min="10758" max="10771" width="9" style="57" hidden="1" customWidth="1"/>
    <col min="10772" max="10788" width="12.225" style="57" customWidth="1"/>
    <col min="10789" max="11008" width="9" style="57"/>
    <col min="11009" max="11009" width="1.66666666666667" style="57" customWidth="1"/>
    <col min="11010" max="11010" width="18.775" style="57" customWidth="1"/>
    <col min="11011" max="11011" width="18.4416666666667" style="57" customWidth="1"/>
    <col min="11012" max="11012" width="11.8916666666667" style="57" customWidth="1"/>
    <col min="11013" max="11013" width="12.225" style="57" customWidth="1"/>
    <col min="11014" max="11027" width="9" style="57" hidden="1" customWidth="1"/>
    <col min="11028" max="11044" width="12.225" style="57" customWidth="1"/>
    <col min="11045" max="11264" width="9" style="57"/>
    <col min="11265" max="11265" width="1.66666666666667" style="57" customWidth="1"/>
    <col min="11266" max="11266" width="18.775" style="57" customWidth="1"/>
    <col min="11267" max="11267" width="18.4416666666667" style="57" customWidth="1"/>
    <col min="11268" max="11268" width="11.8916666666667" style="57" customWidth="1"/>
    <col min="11269" max="11269" width="12.225" style="57" customWidth="1"/>
    <col min="11270" max="11283" width="9" style="57" hidden="1" customWidth="1"/>
    <col min="11284" max="11300" width="12.225" style="57" customWidth="1"/>
    <col min="11301" max="11520" width="9" style="57"/>
    <col min="11521" max="11521" width="1.66666666666667" style="57" customWidth="1"/>
    <col min="11522" max="11522" width="18.775" style="57" customWidth="1"/>
    <col min="11523" max="11523" width="18.4416666666667" style="57" customWidth="1"/>
    <col min="11524" max="11524" width="11.8916666666667" style="57" customWidth="1"/>
    <col min="11525" max="11525" width="12.225" style="57" customWidth="1"/>
    <col min="11526" max="11539" width="9" style="57" hidden="1" customWidth="1"/>
    <col min="11540" max="11556" width="12.225" style="57" customWidth="1"/>
    <col min="11557" max="11776" width="9" style="57"/>
    <col min="11777" max="11777" width="1.66666666666667" style="57" customWidth="1"/>
    <col min="11778" max="11778" width="18.775" style="57" customWidth="1"/>
    <col min="11779" max="11779" width="18.4416666666667" style="57" customWidth="1"/>
    <col min="11780" max="11780" width="11.8916666666667" style="57" customWidth="1"/>
    <col min="11781" max="11781" width="12.225" style="57" customWidth="1"/>
    <col min="11782" max="11795" width="9" style="57" hidden="1" customWidth="1"/>
    <col min="11796" max="11812" width="12.225" style="57" customWidth="1"/>
    <col min="11813" max="12032" width="9" style="57"/>
    <col min="12033" max="12033" width="1.66666666666667" style="57" customWidth="1"/>
    <col min="12034" max="12034" width="18.775" style="57" customWidth="1"/>
    <col min="12035" max="12035" width="18.4416666666667" style="57" customWidth="1"/>
    <col min="12036" max="12036" width="11.8916666666667" style="57" customWidth="1"/>
    <col min="12037" max="12037" width="12.225" style="57" customWidth="1"/>
    <col min="12038" max="12051" width="9" style="57" hidden="1" customWidth="1"/>
    <col min="12052" max="12068" width="12.225" style="57" customWidth="1"/>
    <col min="12069" max="12288" width="9" style="57"/>
    <col min="12289" max="12289" width="1.66666666666667" style="57" customWidth="1"/>
    <col min="12290" max="12290" width="18.775" style="57" customWidth="1"/>
    <col min="12291" max="12291" width="18.4416666666667" style="57" customWidth="1"/>
    <col min="12292" max="12292" width="11.8916666666667" style="57" customWidth="1"/>
    <col min="12293" max="12293" width="12.225" style="57" customWidth="1"/>
    <col min="12294" max="12307" width="9" style="57" hidden="1" customWidth="1"/>
    <col min="12308" max="12324" width="12.225" style="57" customWidth="1"/>
    <col min="12325" max="12544" width="9" style="57"/>
    <col min="12545" max="12545" width="1.66666666666667" style="57" customWidth="1"/>
    <col min="12546" max="12546" width="18.775" style="57" customWidth="1"/>
    <col min="12547" max="12547" width="18.4416666666667" style="57" customWidth="1"/>
    <col min="12548" max="12548" width="11.8916666666667" style="57" customWidth="1"/>
    <col min="12549" max="12549" width="12.225" style="57" customWidth="1"/>
    <col min="12550" max="12563" width="9" style="57" hidden="1" customWidth="1"/>
    <col min="12564" max="12580" width="12.225" style="57" customWidth="1"/>
    <col min="12581" max="12800" width="9" style="57"/>
    <col min="12801" max="12801" width="1.66666666666667" style="57" customWidth="1"/>
    <col min="12802" max="12802" width="18.775" style="57" customWidth="1"/>
    <col min="12803" max="12803" width="18.4416666666667" style="57" customWidth="1"/>
    <col min="12804" max="12804" width="11.8916666666667" style="57" customWidth="1"/>
    <col min="12805" max="12805" width="12.225" style="57" customWidth="1"/>
    <col min="12806" max="12819" width="9" style="57" hidden="1" customWidth="1"/>
    <col min="12820" max="12836" width="12.225" style="57" customWidth="1"/>
    <col min="12837" max="13056" width="9" style="57"/>
    <col min="13057" max="13057" width="1.66666666666667" style="57" customWidth="1"/>
    <col min="13058" max="13058" width="18.775" style="57" customWidth="1"/>
    <col min="13059" max="13059" width="18.4416666666667" style="57" customWidth="1"/>
    <col min="13060" max="13060" width="11.8916666666667" style="57" customWidth="1"/>
    <col min="13061" max="13061" width="12.225" style="57" customWidth="1"/>
    <col min="13062" max="13075" width="9" style="57" hidden="1" customWidth="1"/>
    <col min="13076" max="13092" width="12.225" style="57" customWidth="1"/>
    <col min="13093" max="13312" width="9" style="57"/>
    <col min="13313" max="13313" width="1.66666666666667" style="57" customWidth="1"/>
    <col min="13314" max="13314" width="18.775" style="57" customWidth="1"/>
    <col min="13315" max="13315" width="18.4416666666667" style="57" customWidth="1"/>
    <col min="13316" max="13316" width="11.8916666666667" style="57" customWidth="1"/>
    <col min="13317" max="13317" width="12.225" style="57" customWidth="1"/>
    <col min="13318" max="13331" width="9" style="57" hidden="1" customWidth="1"/>
    <col min="13332" max="13348" width="12.225" style="57" customWidth="1"/>
    <col min="13349" max="13568" width="9" style="57"/>
    <col min="13569" max="13569" width="1.66666666666667" style="57" customWidth="1"/>
    <col min="13570" max="13570" width="18.775" style="57" customWidth="1"/>
    <col min="13571" max="13571" width="18.4416666666667" style="57" customWidth="1"/>
    <col min="13572" max="13572" width="11.8916666666667" style="57" customWidth="1"/>
    <col min="13573" max="13573" width="12.225" style="57" customWidth="1"/>
    <col min="13574" max="13587" width="9" style="57" hidden="1" customWidth="1"/>
    <col min="13588" max="13604" width="12.225" style="57" customWidth="1"/>
    <col min="13605" max="13824" width="9" style="57"/>
    <col min="13825" max="13825" width="1.66666666666667" style="57" customWidth="1"/>
    <col min="13826" max="13826" width="18.775" style="57" customWidth="1"/>
    <col min="13827" max="13827" width="18.4416666666667" style="57" customWidth="1"/>
    <col min="13828" max="13828" width="11.8916666666667" style="57" customWidth="1"/>
    <col min="13829" max="13829" width="12.225" style="57" customWidth="1"/>
    <col min="13830" max="13843" width="9" style="57" hidden="1" customWidth="1"/>
    <col min="13844" max="13860" width="12.225" style="57" customWidth="1"/>
    <col min="13861" max="14080" width="9" style="57"/>
    <col min="14081" max="14081" width="1.66666666666667" style="57" customWidth="1"/>
    <col min="14082" max="14082" width="18.775" style="57" customWidth="1"/>
    <col min="14083" max="14083" width="18.4416666666667" style="57" customWidth="1"/>
    <col min="14084" max="14084" width="11.8916666666667" style="57" customWidth="1"/>
    <col min="14085" max="14085" width="12.225" style="57" customWidth="1"/>
    <col min="14086" max="14099" width="9" style="57" hidden="1" customWidth="1"/>
    <col min="14100" max="14116" width="12.225" style="57" customWidth="1"/>
    <col min="14117" max="14336" width="9" style="57"/>
    <col min="14337" max="14337" width="1.66666666666667" style="57" customWidth="1"/>
    <col min="14338" max="14338" width="18.775" style="57" customWidth="1"/>
    <col min="14339" max="14339" width="18.4416666666667" style="57" customWidth="1"/>
    <col min="14340" max="14340" width="11.8916666666667" style="57" customWidth="1"/>
    <col min="14341" max="14341" width="12.225" style="57" customWidth="1"/>
    <col min="14342" max="14355" width="9" style="57" hidden="1" customWidth="1"/>
    <col min="14356" max="14372" width="12.225" style="57" customWidth="1"/>
    <col min="14373" max="14592" width="9" style="57"/>
    <col min="14593" max="14593" width="1.66666666666667" style="57" customWidth="1"/>
    <col min="14594" max="14594" width="18.775" style="57" customWidth="1"/>
    <col min="14595" max="14595" width="18.4416666666667" style="57" customWidth="1"/>
    <col min="14596" max="14596" width="11.8916666666667" style="57" customWidth="1"/>
    <col min="14597" max="14597" width="12.225" style="57" customWidth="1"/>
    <col min="14598" max="14611" width="9" style="57" hidden="1" customWidth="1"/>
    <col min="14612" max="14628" width="12.225" style="57" customWidth="1"/>
    <col min="14629" max="14848" width="9" style="57"/>
    <col min="14849" max="14849" width="1.66666666666667" style="57" customWidth="1"/>
    <col min="14850" max="14850" width="18.775" style="57" customWidth="1"/>
    <col min="14851" max="14851" width="18.4416666666667" style="57" customWidth="1"/>
    <col min="14852" max="14852" width="11.8916666666667" style="57" customWidth="1"/>
    <col min="14853" max="14853" width="12.225" style="57" customWidth="1"/>
    <col min="14854" max="14867" width="9" style="57" hidden="1" customWidth="1"/>
    <col min="14868" max="14884" width="12.225" style="57" customWidth="1"/>
    <col min="14885" max="15104" width="9" style="57"/>
    <col min="15105" max="15105" width="1.66666666666667" style="57" customWidth="1"/>
    <col min="15106" max="15106" width="18.775" style="57" customWidth="1"/>
    <col min="15107" max="15107" width="18.4416666666667" style="57" customWidth="1"/>
    <col min="15108" max="15108" width="11.8916666666667" style="57" customWidth="1"/>
    <col min="15109" max="15109" width="12.225" style="57" customWidth="1"/>
    <col min="15110" max="15123" width="9" style="57" hidden="1" customWidth="1"/>
    <col min="15124" max="15140" width="12.225" style="57" customWidth="1"/>
    <col min="15141" max="15360" width="9" style="57"/>
    <col min="15361" max="15361" width="1.66666666666667" style="57" customWidth="1"/>
    <col min="15362" max="15362" width="18.775" style="57" customWidth="1"/>
    <col min="15363" max="15363" width="18.4416666666667" style="57" customWidth="1"/>
    <col min="15364" max="15364" width="11.8916666666667" style="57" customWidth="1"/>
    <col min="15365" max="15365" width="12.225" style="57" customWidth="1"/>
    <col min="15366" max="15379" width="9" style="57" hidden="1" customWidth="1"/>
    <col min="15380" max="15396" width="12.225" style="57" customWidth="1"/>
    <col min="15397" max="15616" width="9" style="57"/>
    <col min="15617" max="15617" width="1.66666666666667" style="57" customWidth="1"/>
    <col min="15618" max="15618" width="18.775" style="57" customWidth="1"/>
    <col min="15619" max="15619" width="18.4416666666667" style="57" customWidth="1"/>
    <col min="15620" max="15620" width="11.8916666666667" style="57" customWidth="1"/>
    <col min="15621" max="15621" width="12.225" style="57" customWidth="1"/>
    <col min="15622" max="15635" width="9" style="57" hidden="1" customWidth="1"/>
    <col min="15636" max="15652" width="12.225" style="57" customWidth="1"/>
    <col min="15653" max="15872" width="9" style="57"/>
    <col min="15873" max="15873" width="1.66666666666667" style="57" customWidth="1"/>
    <col min="15874" max="15874" width="18.775" style="57" customWidth="1"/>
    <col min="15875" max="15875" width="18.4416666666667" style="57" customWidth="1"/>
    <col min="15876" max="15876" width="11.8916666666667" style="57" customWidth="1"/>
    <col min="15877" max="15877" width="12.225" style="57" customWidth="1"/>
    <col min="15878" max="15891" width="9" style="57" hidden="1" customWidth="1"/>
    <col min="15892" max="15908" width="12.225" style="57" customWidth="1"/>
    <col min="15909" max="16128" width="9" style="57"/>
    <col min="16129" max="16129" width="1.66666666666667" style="57" customWidth="1"/>
    <col min="16130" max="16130" width="18.775" style="57" customWidth="1"/>
    <col min="16131" max="16131" width="18.4416666666667" style="57" customWidth="1"/>
    <col min="16132" max="16132" width="11.8916666666667" style="57" customWidth="1"/>
    <col min="16133" max="16133" width="12.225" style="57" customWidth="1"/>
    <col min="16134" max="16147" width="9" style="57" hidden="1" customWidth="1"/>
    <col min="16148" max="16164" width="12.225" style="57" customWidth="1"/>
    <col min="16165" max="16384" width="9" style="57"/>
  </cols>
  <sheetData>
    <row r="1" ht="31.5" customHeight="1" spans="2:33">
      <c r="B1" s="61" t="s">
        <v>179</v>
      </c>
      <c r="C1" s="62"/>
      <c r="D1" s="62"/>
      <c r="E1" s="63"/>
      <c r="F1" s="64"/>
      <c r="G1" s="65"/>
      <c r="H1" s="65"/>
      <c r="I1" s="65"/>
      <c r="J1" s="65"/>
      <c r="K1" s="65"/>
      <c r="L1" s="65"/>
      <c r="M1" s="65"/>
      <c r="N1" s="65"/>
      <c r="O1" s="65"/>
      <c r="P1" s="65"/>
      <c r="Q1" s="65"/>
      <c r="R1" s="65"/>
      <c r="S1" s="65"/>
      <c r="T1" s="65"/>
      <c r="U1" s="65"/>
      <c r="V1" s="65"/>
      <c r="W1" s="65"/>
      <c r="X1" s="65"/>
      <c r="Y1" s="132" t="s">
        <v>180</v>
      </c>
      <c r="Z1" s="133">
        <v>0.45</v>
      </c>
      <c r="AA1" s="134">
        <v>0.55</v>
      </c>
      <c r="AB1" s="134">
        <v>0.7</v>
      </c>
      <c r="AC1" s="134">
        <v>0.8</v>
      </c>
      <c r="AD1" s="134">
        <v>0.9</v>
      </c>
      <c r="AE1" s="133">
        <v>0.95</v>
      </c>
      <c r="AF1" s="134">
        <v>1</v>
      </c>
      <c r="AG1" s="134"/>
    </row>
    <row r="2" ht="17.55" customHeight="1" spans="2:36">
      <c r="B2" s="66"/>
      <c r="C2" s="67"/>
      <c r="D2" s="67"/>
      <c r="E2" s="68"/>
      <c r="F2" s="69"/>
      <c r="G2" s="70"/>
      <c r="H2" s="71"/>
      <c r="I2" s="71"/>
      <c r="J2" s="70"/>
      <c r="K2" s="70"/>
      <c r="L2" s="70"/>
      <c r="M2" s="70"/>
      <c r="N2" s="70"/>
      <c r="O2" s="111"/>
      <c r="P2" s="111"/>
      <c r="Q2" s="111"/>
      <c r="R2" s="70"/>
      <c r="S2" s="70"/>
      <c r="T2" s="70"/>
      <c r="U2" s="118"/>
      <c r="V2" s="118"/>
      <c r="W2" s="119"/>
      <c r="X2" s="118"/>
      <c r="Y2" s="118"/>
      <c r="Z2" s="135"/>
      <c r="AA2" s="118"/>
      <c r="AB2" s="70"/>
      <c r="AC2" s="70"/>
      <c r="AD2" s="70"/>
      <c r="AE2" s="136"/>
      <c r="AF2" s="70"/>
      <c r="AG2" s="70"/>
      <c r="AH2" s="147"/>
      <c r="AI2" s="148"/>
      <c r="AJ2" s="149"/>
    </row>
    <row r="3" ht="17.1" customHeight="1" spans="1:36">
      <c r="A3" s="72"/>
      <c r="B3" s="73" t="s">
        <v>120</v>
      </c>
      <c r="C3" s="74" t="s">
        <v>181</v>
      </c>
      <c r="D3" s="75" t="s">
        <v>182</v>
      </c>
      <c r="E3" s="76" t="s">
        <v>183</v>
      </c>
      <c r="F3" s="77">
        <f t="shared" ref="F3:AJ3" si="0">F4</f>
        <v>44805</v>
      </c>
      <c r="G3" s="77">
        <f t="shared" si="0"/>
        <v>44806</v>
      </c>
      <c r="H3" s="78">
        <f t="shared" si="0"/>
        <v>44807</v>
      </c>
      <c r="I3" s="78">
        <f t="shared" si="0"/>
        <v>44808</v>
      </c>
      <c r="J3" s="77">
        <f t="shared" si="0"/>
        <v>44809</v>
      </c>
      <c r="K3" s="77">
        <f t="shared" si="0"/>
        <v>44810</v>
      </c>
      <c r="L3" s="77">
        <f t="shared" si="0"/>
        <v>44811</v>
      </c>
      <c r="M3" s="77">
        <f t="shared" si="0"/>
        <v>44812</v>
      </c>
      <c r="N3" s="77">
        <f t="shared" si="0"/>
        <v>44813</v>
      </c>
      <c r="O3" s="77">
        <f t="shared" si="0"/>
        <v>44814</v>
      </c>
      <c r="P3" s="112">
        <f t="shared" si="0"/>
        <v>44815</v>
      </c>
      <c r="Q3" s="112">
        <f t="shared" si="0"/>
        <v>44816</v>
      </c>
      <c r="R3" s="77">
        <f t="shared" si="0"/>
        <v>44817</v>
      </c>
      <c r="S3" s="77">
        <f t="shared" si="0"/>
        <v>44818</v>
      </c>
      <c r="T3" s="77">
        <f t="shared" si="0"/>
        <v>44819</v>
      </c>
      <c r="U3" s="77">
        <f t="shared" si="0"/>
        <v>44820</v>
      </c>
      <c r="V3" s="78">
        <f t="shared" si="0"/>
        <v>44821</v>
      </c>
      <c r="W3" s="120">
        <f t="shared" si="0"/>
        <v>44822</v>
      </c>
      <c r="X3" s="77">
        <f t="shared" si="0"/>
        <v>44823</v>
      </c>
      <c r="Y3" s="77">
        <f t="shared" si="0"/>
        <v>44824</v>
      </c>
      <c r="Z3" s="77">
        <f t="shared" si="0"/>
        <v>44825</v>
      </c>
      <c r="AA3" s="77">
        <f t="shared" si="0"/>
        <v>44826</v>
      </c>
      <c r="AB3" s="77">
        <f t="shared" si="0"/>
        <v>44827</v>
      </c>
      <c r="AC3" s="78">
        <f t="shared" si="0"/>
        <v>44828</v>
      </c>
      <c r="AD3" s="78">
        <f t="shared" si="0"/>
        <v>44829</v>
      </c>
      <c r="AE3" s="77">
        <f t="shared" si="0"/>
        <v>44830</v>
      </c>
      <c r="AF3" s="77">
        <f t="shared" si="0"/>
        <v>44831</v>
      </c>
      <c r="AG3" s="77">
        <f t="shared" si="0"/>
        <v>44832</v>
      </c>
      <c r="AH3" s="77">
        <f t="shared" si="0"/>
        <v>44833</v>
      </c>
      <c r="AI3" s="150">
        <f t="shared" si="0"/>
        <v>44834</v>
      </c>
      <c r="AJ3" s="151">
        <f t="shared" si="0"/>
        <v>0</v>
      </c>
    </row>
    <row r="4" s="51" customFormat="1" ht="17.25" spans="1:36">
      <c r="A4" s="79"/>
      <c r="B4" s="80"/>
      <c r="C4" s="81"/>
      <c r="D4" s="82"/>
      <c r="E4" s="82"/>
      <c r="F4" s="83">
        <v>44805</v>
      </c>
      <c r="G4" s="83">
        <v>44806</v>
      </c>
      <c r="H4" s="84">
        <v>44807</v>
      </c>
      <c r="I4" s="84">
        <v>44808</v>
      </c>
      <c r="J4" s="83">
        <v>44809</v>
      </c>
      <c r="K4" s="83">
        <v>44810</v>
      </c>
      <c r="L4" s="83">
        <v>44811</v>
      </c>
      <c r="M4" s="83">
        <v>44812</v>
      </c>
      <c r="N4" s="83">
        <v>44813</v>
      </c>
      <c r="O4" s="83">
        <v>44814</v>
      </c>
      <c r="P4" s="83">
        <v>44815</v>
      </c>
      <c r="Q4" s="121">
        <v>44816</v>
      </c>
      <c r="R4" s="83">
        <v>44817</v>
      </c>
      <c r="S4" s="83">
        <v>44818</v>
      </c>
      <c r="T4" s="83">
        <v>44819</v>
      </c>
      <c r="U4" s="83">
        <v>44820</v>
      </c>
      <c r="V4" s="84">
        <v>44821</v>
      </c>
      <c r="W4" s="84">
        <v>44822</v>
      </c>
      <c r="X4" s="83">
        <v>44823</v>
      </c>
      <c r="Y4" s="83">
        <v>44824</v>
      </c>
      <c r="Z4" s="83">
        <v>44825</v>
      </c>
      <c r="AA4" s="83">
        <v>44826</v>
      </c>
      <c r="AB4" s="83">
        <v>44827</v>
      </c>
      <c r="AC4" s="84">
        <v>44828</v>
      </c>
      <c r="AD4" s="84">
        <v>44829</v>
      </c>
      <c r="AE4" s="83">
        <v>44830</v>
      </c>
      <c r="AF4" s="83">
        <v>44831</v>
      </c>
      <c r="AG4" s="83">
        <v>44832</v>
      </c>
      <c r="AH4" s="83">
        <v>44833</v>
      </c>
      <c r="AI4" s="83">
        <v>44834</v>
      </c>
      <c r="AJ4" s="84"/>
    </row>
    <row r="5" ht="18" customHeight="1" outlineLevel="1" spans="2:36">
      <c r="B5" s="85" t="s">
        <v>184</v>
      </c>
      <c r="C5" s="86" t="s">
        <v>185</v>
      </c>
      <c r="D5" s="87"/>
      <c r="E5" s="87"/>
      <c r="F5" s="88"/>
      <c r="G5" s="88"/>
      <c r="H5" s="89"/>
      <c r="I5" s="89"/>
      <c r="J5" s="88"/>
      <c r="K5" s="88"/>
      <c r="L5" s="88"/>
      <c r="M5" s="88"/>
      <c r="N5" s="88"/>
      <c r="O5" s="113"/>
      <c r="P5" s="113"/>
      <c r="Q5" s="113"/>
      <c r="R5" s="88"/>
      <c r="S5" s="88">
        <v>1</v>
      </c>
      <c r="T5" s="88">
        <v>1</v>
      </c>
      <c r="U5" s="88"/>
      <c r="V5" s="89"/>
      <c r="W5" s="122"/>
      <c r="X5" s="117"/>
      <c r="Y5" s="88"/>
      <c r="Z5" s="127"/>
      <c r="AA5" s="127"/>
      <c r="AB5" s="127"/>
      <c r="AC5" s="89"/>
      <c r="AD5" s="89"/>
      <c r="AE5" s="88"/>
      <c r="AF5" s="137"/>
      <c r="AG5" s="88"/>
      <c r="AH5" s="88"/>
      <c r="AI5" s="137"/>
      <c r="AJ5" s="152"/>
    </row>
    <row r="6" ht="18" customHeight="1" outlineLevel="1" spans="2:36">
      <c r="B6" s="90"/>
      <c r="C6" s="91" t="s">
        <v>186</v>
      </c>
      <c r="D6" s="92"/>
      <c r="E6" s="92"/>
      <c r="F6" s="93">
        <v>38</v>
      </c>
      <c r="G6" s="93">
        <v>38</v>
      </c>
      <c r="H6" s="94">
        <v>46</v>
      </c>
      <c r="I6" s="94">
        <v>46</v>
      </c>
      <c r="J6" s="93">
        <v>46</v>
      </c>
      <c r="K6" s="93">
        <v>46</v>
      </c>
      <c r="L6" s="93">
        <v>46</v>
      </c>
      <c r="M6" s="93">
        <v>46</v>
      </c>
      <c r="N6" s="93">
        <v>46</v>
      </c>
      <c r="O6" s="114">
        <v>46</v>
      </c>
      <c r="P6" s="114">
        <v>46</v>
      </c>
      <c r="Q6" s="114">
        <v>46</v>
      </c>
      <c r="R6" s="93">
        <v>46</v>
      </c>
      <c r="S6" s="93">
        <v>32</v>
      </c>
      <c r="T6" s="93">
        <v>32</v>
      </c>
      <c r="U6" s="93">
        <v>32</v>
      </c>
      <c r="V6" s="94">
        <v>32</v>
      </c>
      <c r="W6" s="96">
        <v>46</v>
      </c>
      <c r="X6" s="93">
        <v>46</v>
      </c>
      <c r="Y6" s="93">
        <v>46</v>
      </c>
      <c r="Z6" s="93">
        <v>46</v>
      </c>
      <c r="AA6" s="93">
        <v>46</v>
      </c>
      <c r="AB6" s="93">
        <v>46</v>
      </c>
      <c r="AC6" s="94">
        <v>46</v>
      </c>
      <c r="AD6" s="94">
        <v>46</v>
      </c>
      <c r="AE6" s="93">
        <v>46</v>
      </c>
      <c r="AF6" s="93">
        <v>46</v>
      </c>
      <c r="AG6" s="93">
        <v>46</v>
      </c>
      <c r="AH6" s="93">
        <v>46</v>
      </c>
      <c r="AI6" s="138">
        <v>46</v>
      </c>
      <c r="AJ6" s="153">
        <v>46</v>
      </c>
    </row>
    <row r="7" ht="18" customHeight="1" outlineLevel="1" spans="2:36">
      <c r="B7" s="90"/>
      <c r="C7" s="91" t="s">
        <v>187</v>
      </c>
      <c r="D7" s="92"/>
      <c r="E7" s="92"/>
      <c r="F7" s="93">
        <f t="shared" ref="F7:AJ7" si="1">F5*F6</f>
        <v>0</v>
      </c>
      <c r="G7" s="93">
        <f t="shared" si="1"/>
        <v>0</v>
      </c>
      <c r="H7" s="94">
        <f t="shared" si="1"/>
        <v>0</v>
      </c>
      <c r="I7" s="94">
        <f t="shared" si="1"/>
        <v>0</v>
      </c>
      <c r="J7" s="93">
        <f t="shared" si="1"/>
        <v>0</v>
      </c>
      <c r="K7" s="93">
        <f t="shared" si="1"/>
        <v>0</v>
      </c>
      <c r="L7" s="93">
        <f t="shared" si="1"/>
        <v>0</v>
      </c>
      <c r="M7" s="93">
        <f t="shared" si="1"/>
        <v>0</v>
      </c>
      <c r="N7" s="93">
        <v>0</v>
      </c>
      <c r="O7" s="114">
        <f t="shared" si="1"/>
        <v>0</v>
      </c>
      <c r="P7" s="114">
        <f t="shared" si="1"/>
        <v>0</v>
      </c>
      <c r="Q7" s="114">
        <f t="shared" si="1"/>
        <v>0</v>
      </c>
      <c r="R7" s="93">
        <f t="shared" si="1"/>
        <v>0</v>
      </c>
      <c r="S7" s="93">
        <f t="shared" si="1"/>
        <v>32</v>
      </c>
      <c r="T7" s="93">
        <f t="shared" si="1"/>
        <v>32</v>
      </c>
      <c r="U7" s="93">
        <f t="shared" si="1"/>
        <v>0</v>
      </c>
      <c r="V7" s="94">
        <f t="shared" si="1"/>
        <v>0</v>
      </c>
      <c r="W7" s="96">
        <f t="shared" si="1"/>
        <v>0</v>
      </c>
      <c r="X7" s="95">
        <f t="shared" si="1"/>
        <v>0</v>
      </c>
      <c r="Y7" s="93">
        <f t="shared" si="1"/>
        <v>0</v>
      </c>
      <c r="Z7" s="93">
        <f t="shared" si="1"/>
        <v>0</v>
      </c>
      <c r="AA7" s="93">
        <f t="shared" si="1"/>
        <v>0</v>
      </c>
      <c r="AB7" s="93">
        <f t="shared" si="1"/>
        <v>0</v>
      </c>
      <c r="AC7" s="94">
        <f t="shared" si="1"/>
        <v>0</v>
      </c>
      <c r="AD7" s="94">
        <f t="shared" si="1"/>
        <v>0</v>
      </c>
      <c r="AE7" s="93">
        <f t="shared" si="1"/>
        <v>0</v>
      </c>
      <c r="AF7" s="138">
        <f t="shared" si="1"/>
        <v>0</v>
      </c>
      <c r="AG7" s="93">
        <f t="shared" si="1"/>
        <v>0</v>
      </c>
      <c r="AH7" s="93">
        <f t="shared" si="1"/>
        <v>0</v>
      </c>
      <c r="AI7" s="138">
        <f t="shared" si="1"/>
        <v>0</v>
      </c>
      <c r="AJ7" s="153">
        <f t="shared" si="1"/>
        <v>0</v>
      </c>
    </row>
    <row r="8" ht="18" customHeight="1" outlineLevel="1" spans="2:36">
      <c r="B8" s="90"/>
      <c r="C8" s="91" t="s">
        <v>188</v>
      </c>
      <c r="D8" s="92"/>
      <c r="E8" s="92"/>
      <c r="F8" s="93"/>
      <c r="G8" s="93"/>
      <c r="H8" s="94"/>
      <c r="I8" s="94"/>
      <c r="J8" s="93"/>
      <c r="K8" s="93"/>
      <c r="L8" s="93"/>
      <c r="M8" s="93"/>
      <c r="N8" s="93"/>
      <c r="O8" s="114"/>
      <c r="P8" s="114">
        <v>8</v>
      </c>
      <c r="Q8" s="114">
        <v>8</v>
      </c>
      <c r="R8" s="93">
        <v>11.5</v>
      </c>
      <c r="S8" s="93">
        <v>8</v>
      </c>
      <c r="T8" s="93">
        <v>8</v>
      </c>
      <c r="U8" s="93"/>
      <c r="V8" s="94"/>
      <c r="W8" s="96"/>
      <c r="X8" s="93">
        <v>12</v>
      </c>
      <c r="Y8" s="93">
        <v>12</v>
      </c>
      <c r="Z8" s="93"/>
      <c r="AA8" s="93"/>
      <c r="AB8" s="93"/>
      <c r="AC8" s="94"/>
      <c r="AD8" s="94"/>
      <c r="AE8" s="93"/>
      <c r="AF8" s="93"/>
      <c r="AG8" s="93"/>
      <c r="AH8" s="93"/>
      <c r="AI8" s="138"/>
      <c r="AJ8" s="153"/>
    </row>
    <row r="9" ht="18" customHeight="1" outlineLevel="1" spans="2:36">
      <c r="B9" s="90"/>
      <c r="C9" s="91" t="s">
        <v>189</v>
      </c>
      <c r="D9" s="92"/>
      <c r="E9" s="92"/>
      <c r="F9" s="93">
        <v>1100</v>
      </c>
      <c r="G9" s="93">
        <v>1100</v>
      </c>
      <c r="H9" s="94">
        <v>1100</v>
      </c>
      <c r="I9" s="94">
        <v>1100</v>
      </c>
      <c r="J9" s="93">
        <v>1100</v>
      </c>
      <c r="K9" s="93">
        <v>1100</v>
      </c>
      <c r="L9" s="93">
        <v>1100</v>
      </c>
      <c r="M9" s="93">
        <v>1100</v>
      </c>
      <c r="N9" s="93">
        <v>1100</v>
      </c>
      <c r="O9" s="114">
        <v>1100</v>
      </c>
      <c r="P9" s="114">
        <v>1100</v>
      </c>
      <c r="Q9" s="114">
        <v>1100</v>
      </c>
      <c r="R9" s="93">
        <v>1100</v>
      </c>
      <c r="S9" s="93">
        <v>785</v>
      </c>
      <c r="T9" s="93">
        <v>785</v>
      </c>
      <c r="U9" s="93">
        <v>1100</v>
      </c>
      <c r="V9" s="94">
        <v>1100</v>
      </c>
      <c r="W9" s="96">
        <v>1100</v>
      </c>
      <c r="X9" s="93">
        <v>1100</v>
      </c>
      <c r="Y9" s="93">
        <v>1100</v>
      </c>
      <c r="Z9" s="93">
        <v>1100</v>
      </c>
      <c r="AA9" s="93">
        <v>1100</v>
      </c>
      <c r="AB9" s="93">
        <v>1100</v>
      </c>
      <c r="AC9" s="94">
        <v>1100</v>
      </c>
      <c r="AD9" s="94">
        <v>1100</v>
      </c>
      <c r="AE9" s="93">
        <v>1100</v>
      </c>
      <c r="AF9" s="93">
        <v>1100</v>
      </c>
      <c r="AG9" s="93">
        <v>1100</v>
      </c>
      <c r="AH9" s="93">
        <v>700</v>
      </c>
      <c r="AI9" s="138">
        <v>1100</v>
      </c>
      <c r="AJ9" s="153">
        <v>1101</v>
      </c>
    </row>
    <row r="10" ht="18" customHeight="1" outlineLevel="1" spans="2:36">
      <c r="B10" s="90"/>
      <c r="C10" s="91" t="s">
        <v>190</v>
      </c>
      <c r="D10" s="92">
        <v>5000</v>
      </c>
      <c r="E10" s="92">
        <f>SUM(F10:AI10)</f>
        <v>8792</v>
      </c>
      <c r="F10" s="95">
        <f>F5*F8*F9*0.6</f>
        <v>0</v>
      </c>
      <c r="G10" s="95">
        <f>G5*G8*G9*0.6</f>
        <v>0</v>
      </c>
      <c r="H10" s="96">
        <f>H5*H8*H9*0.75</f>
        <v>0</v>
      </c>
      <c r="I10" s="96">
        <f>I5*I8*I9*0.85</f>
        <v>0</v>
      </c>
      <c r="J10" s="95">
        <f>J5*J8*J9*0.95</f>
        <v>0</v>
      </c>
      <c r="K10" s="95">
        <f>K5*K8*K9</f>
        <v>0</v>
      </c>
      <c r="L10" s="95">
        <f>L5*L8*L9</f>
        <v>0</v>
      </c>
      <c r="M10" s="95">
        <f>M5*M8*M9</f>
        <v>0</v>
      </c>
      <c r="N10" s="95">
        <v>0</v>
      </c>
      <c r="O10" s="115">
        <f>O5*O8*O9</f>
        <v>0</v>
      </c>
      <c r="P10" s="115">
        <f>P5*P8*P9*0.75</f>
        <v>0</v>
      </c>
      <c r="Q10" s="115">
        <f>Q5*Q8*Q9*0.75</f>
        <v>0</v>
      </c>
      <c r="R10" s="95">
        <f>R5*R8*R9*0.85</f>
        <v>0</v>
      </c>
      <c r="S10" s="95">
        <f>S5*S8*S9*0.7</f>
        <v>4396</v>
      </c>
      <c r="T10" s="95">
        <f>T5*T8*T9*0.7</f>
        <v>4396</v>
      </c>
      <c r="U10" s="95">
        <f>U5*U8*U9*0.7</f>
        <v>0</v>
      </c>
      <c r="V10" s="96">
        <f>V5*V8*V9*0.75</f>
        <v>0</v>
      </c>
      <c r="W10" s="96">
        <f>W5*W8*W9*0.65</f>
        <v>0</v>
      </c>
      <c r="X10" s="95">
        <f>X5*X8*X9*0.7</f>
        <v>0</v>
      </c>
      <c r="Y10" s="128">
        <f>Y5*Y8*Y9*0.75</f>
        <v>0</v>
      </c>
      <c r="Z10" s="128">
        <f>Z5*Z8*Z9*0.8</f>
        <v>0</v>
      </c>
      <c r="AA10" s="128">
        <f t="shared" ref="AA10:AG10" si="2">AA5*AA8*AA9</f>
        <v>0</v>
      </c>
      <c r="AB10" s="128">
        <f t="shared" si="2"/>
        <v>0</v>
      </c>
      <c r="AC10" s="123">
        <f t="shared" si="2"/>
        <v>0</v>
      </c>
      <c r="AD10" s="96">
        <f t="shared" si="2"/>
        <v>0</v>
      </c>
      <c r="AE10" s="95">
        <f t="shared" si="2"/>
        <v>0</v>
      </c>
      <c r="AF10" s="139">
        <f t="shared" si="2"/>
        <v>0</v>
      </c>
      <c r="AG10" s="95">
        <f t="shared" si="2"/>
        <v>0</v>
      </c>
      <c r="AH10" s="95">
        <f>AH5*AH8*AH9*0.85</f>
        <v>0</v>
      </c>
      <c r="AI10" s="139">
        <f>AI5*AI8*AI9</f>
        <v>0</v>
      </c>
      <c r="AJ10" s="154">
        <f>AJ5*AJ8*AJ9</f>
        <v>0</v>
      </c>
    </row>
    <row r="11" ht="18" customHeight="1" outlineLevel="1" spans="2:36">
      <c r="B11" s="90"/>
      <c r="C11" s="91" t="s">
        <v>191</v>
      </c>
      <c r="D11" s="92"/>
      <c r="E11" s="97">
        <f>SUM(F11:AJ11)</f>
        <v>9800</v>
      </c>
      <c r="F11" s="98"/>
      <c r="G11" s="99"/>
      <c r="H11" s="100"/>
      <c r="I11" s="100"/>
      <c r="J11" s="99"/>
      <c r="K11" s="99"/>
      <c r="L11" s="95"/>
      <c r="M11" s="95"/>
      <c r="N11" s="95"/>
      <c r="O11" s="115"/>
      <c r="P11" s="115"/>
      <c r="Q11" s="115"/>
      <c r="R11" s="95"/>
      <c r="S11" s="95">
        <v>4400</v>
      </c>
      <c r="T11" s="95">
        <v>5400</v>
      </c>
      <c r="U11" s="95"/>
      <c r="V11" s="96"/>
      <c r="W11" s="96"/>
      <c r="X11" s="95"/>
      <c r="Y11" s="95"/>
      <c r="Z11" s="95"/>
      <c r="AA11" s="95"/>
      <c r="AB11" s="95"/>
      <c r="AC11" s="96"/>
      <c r="AD11" s="140"/>
      <c r="AE11" s="95"/>
      <c r="AF11" s="139"/>
      <c r="AG11" s="139"/>
      <c r="AH11" s="139"/>
      <c r="AI11" s="139"/>
      <c r="AJ11" s="154"/>
    </row>
    <row r="12" ht="18" customHeight="1" outlineLevel="1" spans="2:36">
      <c r="B12" s="90"/>
      <c r="C12" s="91" t="s">
        <v>192</v>
      </c>
      <c r="D12" s="92"/>
      <c r="E12" s="92"/>
      <c r="F12" s="95">
        <f t="shared" ref="F12:AJ12" si="3">F11-F10</f>
        <v>0</v>
      </c>
      <c r="G12" s="95">
        <f t="shared" si="3"/>
        <v>0</v>
      </c>
      <c r="H12" s="96">
        <f t="shared" si="3"/>
        <v>0</v>
      </c>
      <c r="I12" s="96">
        <f t="shared" si="3"/>
        <v>0</v>
      </c>
      <c r="J12" s="95">
        <f t="shared" si="3"/>
        <v>0</v>
      </c>
      <c r="K12" s="95">
        <f t="shared" si="3"/>
        <v>0</v>
      </c>
      <c r="L12" s="95">
        <f t="shared" si="3"/>
        <v>0</v>
      </c>
      <c r="M12" s="95">
        <f t="shared" si="3"/>
        <v>0</v>
      </c>
      <c r="N12" s="95">
        <v>0</v>
      </c>
      <c r="O12" s="115">
        <f t="shared" si="3"/>
        <v>0</v>
      </c>
      <c r="P12" s="115">
        <f t="shared" si="3"/>
        <v>0</v>
      </c>
      <c r="Q12" s="115">
        <f t="shared" si="3"/>
        <v>0</v>
      </c>
      <c r="R12" s="95">
        <f t="shared" si="3"/>
        <v>0</v>
      </c>
      <c r="S12" s="95">
        <f t="shared" si="3"/>
        <v>4</v>
      </c>
      <c r="T12" s="95">
        <f t="shared" si="3"/>
        <v>1004</v>
      </c>
      <c r="U12" s="95">
        <f t="shared" si="3"/>
        <v>0</v>
      </c>
      <c r="V12" s="96">
        <f t="shared" si="3"/>
        <v>0</v>
      </c>
      <c r="W12" s="123">
        <f t="shared" si="3"/>
        <v>0</v>
      </c>
      <c r="X12" s="95">
        <f t="shared" si="3"/>
        <v>0</v>
      </c>
      <c r="Y12" s="128">
        <f t="shared" si="3"/>
        <v>0</v>
      </c>
      <c r="Z12" s="128">
        <f t="shared" si="3"/>
        <v>0</v>
      </c>
      <c r="AA12" s="128">
        <f t="shared" si="3"/>
        <v>0</v>
      </c>
      <c r="AB12" s="128">
        <f t="shared" si="3"/>
        <v>0</v>
      </c>
      <c r="AC12" s="96">
        <f t="shared" si="3"/>
        <v>0</v>
      </c>
      <c r="AD12" s="96">
        <f t="shared" si="3"/>
        <v>0</v>
      </c>
      <c r="AE12" s="95">
        <f t="shared" si="3"/>
        <v>0</v>
      </c>
      <c r="AF12" s="139">
        <f t="shared" si="3"/>
        <v>0</v>
      </c>
      <c r="AG12" s="95">
        <f t="shared" si="3"/>
        <v>0</v>
      </c>
      <c r="AH12" s="139">
        <f t="shared" si="3"/>
        <v>0</v>
      </c>
      <c r="AI12" s="139">
        <f t="shared" si="3"/>
        <v>0</v>
      </c>
      <c r="AJ12" s="154">
        <f t="shared" si="3"/>
        <v>0</v>
      </c>
    </row>
    <row r="13" s="52" customFormat="1" ht="18" customHeight="1" outlineLevel="1" spans="1:36">
      <c r="A13" s="54"/>
      <c r="B13" s="90"/>
      <c r="C13" s="91" t="s">
        <v>193</v>
      </c>
      <c r="D13" s="92"/>
      <c r="E13" s="92"/>
      <c r="F13" s="95">
        <f t="shared" ref="F13:AJ13" si="4">E13+F11</f>
        <v>0</v>
      </c>
      <c r="G13" s="95">
        <f t="shared" si="4"/>
        <v>0</v>
      </c>
      <c r="H13" s="96">
        <f t="shared" si="4"/>
        <v>0</v>
      </c>
      <c r="I13" s="96">
        <f t="shared" si="4"/>
        <v>0</v>
      </c>
      <c r="J13" s="95">
        <f t="shared" si="4"/>
        <v>0</v>
      </c>
      <c r="K13" s="95">
        <f t="shared" si="4"/>
        <v>0</v>
      </c>
      <c r="L13" s="95">
        <f t="shared" si="4"/>
        <v>0</v>
      </c>
      <c r="M13" s="95">
        <f t="shared" si="4"/>
        <v>0</v>
      </c>
      <c r="N13" s="95">
        <v>0</v>
      </c>
      <c r="O13" s="115">
        <f t="shared" si="4"/>
        <v>0</v>
      </c>
      <c r="P13" s="115">
        <f t="shared" si="4"/>
        <v>0</v>
      </c>
      <c r="Q13" s="115">
        <f t="shared" si="4"/>
        <v>0</v>
      </c>
      <c r="R13" s="95">
        <f t="shared" si="4"/>
        <v>0</v>
      </c>
      <c r="S13" s="95">
        <f t="shared" si="4"/>
        <v>4400</v>
      </c>
      <c r="T13" s="95">
        <f t="shared" si="4"/>
        <v>9800</v>
      </c>
      <c r="U13" s="95">
        <f t="shared" si="4"/>
        <v>9800</v>
      </c>
      <c r="V13" s="96">
        <f t="shared" si="4"/>
        <v>9800</v>
      </c>
      <c r="W13" s="123">
        <f t="shared" si="4"/>
        <v>9800</v>
      </c>
      <c r="X13" s="95">
        <f t="shared" si="4"/>
        <v>9800</v>
      </c>
      <c r="Y13" s="128">
        <f t="shared" si="4"/>
        <v>9800</v>
      </c>
      <c r="Z13" s="128">
        <f t="shared" si="4"/>
        <v>9800</v>
      </c>
      <c r="AA13" s="128">
        <f t="shared" si="4"/>
        <v>9800</v>
      </c>
      <c r="AB13" s="128">
        <f t="shared" si="4"/>
        <v>9800</v>
      </c>
      <c r="AC13" s="96">
        <f t="shared" si="4"/>
        <v>9800</v>
      </c>
      <c r="AD13" s="96">
        <f t="shared" si="4"/>
        <v>9800</v>
      </c>
      <c r="AE13" s="95">
        <f t="shared" si="4"/>
        <v>9800</v>
      </c>
      <c r="AF13" s="95">
        <f t="shared" si="4"/>
        <v>9800</v>
      </c>
      <c r="AG13" s="95">
        <f t="shared" si="4"/>
        <v>9800</v>
      </c>
      <c r="AH13" s="139">
        <f t="shared" si="4"/>
        <v>9800</v>
      </c>
      <c r="AI13" s="139">
        <f t="shared" si="4"/>
        <v>9800</v>
      </c>
      <c r="AJ13" s="154">
        <f t="shared" si="4"/>
        <v>9800</v>
      </c>
    </row>
    <row r="14" ht="18" customHeight="1" spans="2:36">
      <c r="B14" s="101"/>
      <c r="C14" s="102" t="s">
        <v>194</v>
      </c>
      <c r="D14" s="103"/>
      <c r="E14" s="103"/>
      <c r="F14" s="104"/>
      <c r="G14" s="104"/>
      <c r="H14" s="105" t="str">
        <f>IF(H11&gt;0,H11/H10,"")</f>
        <v/>
      </c>
      <c r="I14" s="105" t="str">
        <f t="shared" ref="I14:AJ14" si="5">IF(I11&gt;0,I11/I10,"")</f>
        <v/>
      </c>
      <c r="J14" s="104" t="str">
        <f t="shared" si="5"/>
        <v/>
      </c>
      <c r="K14" s="104" t="str">
        <f t="shared" si="5"/>
        <v/>
      </c>
      <c r="L14" s="104" t="str">
        <f t="shared" si="5"/>
        <v/>
      </c>
      <c r="M14" s="104" t="str">
        <f t="shared" si="5"/>
        <v/>
      </c>
      <c r="N14" s="104" t="s">
        <v>195</v>
      </c>
      <c r="O14" s="116" t="str">
        <f t="shared" si="5"/>
        <v/>
      </c>
      <c r="P14" s="116" t="str">
        <f t="shared" si="5"/>
        <v/>
      </c>
      <c r="Q14" s="116" t="str">
        <f t="shared" si="5"/>
        <v/>
      </c>
      <c r="R14" s="104" t="str">
        <f t="shared" si="5"/>
        <v/>
      </c>
      <c r="S14" s="104">
        <f t="shared" si="5"/>
        <v>1.00090991810737</v>
      </c>
      <c r="T14" s="104">
        <f t="shared" si="5"/>
        <v>1.22838944494995</v>
      </c>
      <c r="U14" s="104" t="str">
        <f t="shared" si="5"/>
        <v/>
      </c>
      <c r="V14" s="105" t="str">
        <f t="shared" si="5"/>
        <v/>
      </c>
      <c r="W14" s="105" t="str">
        <f t="shared" si="5"/>
        <v/>
      </c>
      <c r="X14" s="104" t="str">
        <f t="shared" si="5"/>
        <v/>
      </c>
      <c r="Y14" s="104" t="str">
        <f t="shared" si="5"/>
        <v/>
      </c>
      <c r="Z14" s="104" t="str">
        <f t="shared" si="5"/>
        <v/>
      </c>
      <c r="AA14" s="104" t="str">
        <f t="shared" si="5"/>
        <v/>
      </c>
      <c r="AB14" s="104" t="str">
        <f t="shared" si="5"/>
        <v/>
      </c>
      <c r="AC14" s="105" t="str">
        <f t="shared" si="5"/>
        <v/>
      </c>
      <c r="AD14" s="105" t="str">
        <f t="shared" si="5"/>
        <v/>
      </c>
      <c r="AE14" s="104" t="str">
        <f t="shared" si="5"/>
        <v/>
      </c>
      <c r="AF14" s="141" t="str">
        <f t="shared" si="5"/>
        <v/>
      </c>
      <c r="AG14" s="104" t="str">
        <f t="shared" si="5"/>
        <v/>
      </c>
      <c r="AH14" s="104" t="str">
        <f t="shared" si="5"/>
        <v/>
      </c>
      <c r="AI14" s="155" t="str">
        <f t="shared" si="5"/>
        <v/>
      </c>
      <c r="AJ14" s="156" t="str">
        <f t="shared" si="5"/>
        <v/>
      </c>
    </row>
    <row r="15" ht="18" customHeight="1" outlineLevel="1" spans="2:36">
      <c r="B15" s="106" t="s">
        <v>196</v>
      </c>
      <c r="C15" s="86" t="s">
        <v>185</v>
      </c>
      <c r="D15" s="87"/>
      <c r="E15" s="87"/>
      <c r="F15" s="88"/>
      <c r="G15" s="88"/>
      <c r="H15" s="89"/>
      <c r="I15" s="89"/>
      <c r="J15" s="88"/>
      <c r="K15" s="88"/>
      <c r="L15" s="88"/>
      <c r="M15" s="88"/>
      <c r="N15" s="88"/>
      <c r="O15" s="113"/>
      <c r="P15" s="113"/>
      <c r="Q15" s="113"/>
      <c r="R15" s="88"/>
      <c r="S15" s="88"/>
      <c r="T15" s="88"/>
      <c r="U15" s="88"/>
      <c r="V15" s="89"/>
      <c r="W15" s="122"/>
      <c r="X15" s="117"/>
      <c r="Y15" s="88"/>
      <c r="Z15" s="127"/>
      <c r="AA15" s="127"/>
      <c r="AB15" s="127"/>
      <c r="AC15" s="89"/>
      <c r="AD15" s="89"/>
      <c r="AE15" s="88"/>
      <c r="AF15" s="137"/>
      <c r="AG15" s="88"/>
      <c r="AH15" s="157"/>
      <c r="AI15" s="157"/>
      <c r="AJ15" s="158"/>
    </row>
    <row r="16" ht="18" customHeight="1" outlineLevel="1" spans="2:36">
      <c r="B16" s="107"/>
      <c r="C16" s="91" t="s">
        <v>186</v>
      </c>
      <c r="D16" s="92"/>
      <c r="E16" s="92"/>
      <c r="F16" s="93">
        <v>38</v>
      </c>
      <c r="G16" s="93">
        <v>38</v>
      </c>
      <c r="H16" s="94">
        <v>38</v>
      </c>
      <c r="I16" s="94">
        <v>38</v>
      </c>
      <c r="J16" s="93">
        <v>38</v>
      </c>
      <c r="K16" s="93">
        <v>38</v>
      </c>
      <c r="L16" s="93">
        <v>38</v>
      </c>
      <c r="M16" s="93">
        <v>38</v>
      </c>
      <c r="N16" s="93">
        <v>38</v>
      </c>
      <c r="O16" s="114">
        <v>38</v>
      </c>
      <c r="P16" s="114">
        <v>38</v>
      </c>
      <c r="Q16" s="114">
        <v>38</v>
      </c>
      <c r="R16" s="93">
        <v>38</v>
      </c>
      <c r="S16" s="93">
        <v>38</v>
      </c>
      <c r="T16" s="93">
        <v>38</v>
      </c>
      <c r="U16" s="93">
        <v>38</v>
      </c>
      <c r="V16" s="94">
        <v>38</v>
      </c>
      <c r="W16" s="96">
        <v>38</v>
      </c>
      <c r="X16" s="95">
        <v>38</v>
      </c>
      <c r="Y16" s="128">
        <v>38</v>
      </c>
      <c r="Z16" s="128">
        <v>38</v>
      </c>
      <c r="AA16" s="128">
        <v>38</v>
      </c>
      <c r="AB16" s="128">
        <v>38</v>
      </c>
      <c r="AC16" s="94">
        <v>38</v>
      </c>
      <c r="AD16" s="94">
        <v>38</v>
      </c>
      <c r="AE16" s="93">
        <v>38</v>
      </c>
      <c r="AF16" s="138">
        <v>38</v>
      </c>
      <c r="AG16" s="93">
        <v>38</v>
      </c>
      <c r="AH16" s="139">
        <v>38</v>
      </c>
      <c r="AI16" s="139">
        <v>38</v>
      </c>
      <c r="AJ16" s="154">
        <v>38</v>
      </c>
    </row>
    <row r="17" ht="18" customHeight="1" outlineLevel="1" spans="2:36">
      <c r="B17" s="107"/>
      <c r="C17" s="91" t="s">
        <v>187</v>
      </c>
      <c r="D17" s="92"/>
      <c r="E17" s="92"/>
      <c r="F17" s="93">
        <f t="shared" ref="F17:AJ17" si="6">F15*F16</f>
        <v>0</v>
      </c>
      <c r="G17" s="93">
        <f t="shared" si="6"/>
        <v>0</v>
      </c>
      <c r="H17" s="94">
        <f t="shared" si="6"/>
        <v>0</v>
      </c>
      <c r="I17" s="94">
        <f t="shared" si="6"/>
        <v>0</v>
      </c>
      <c r="J17" s="93">
        <f t="shared" si="6"/>
        <v>0</v>
      </c>
      <c r="K17" s="93">
        <f t="shared" si="6"/>
        <v>0</v>
      </c>
      <c r="L17" s="93">
        <f t="shared" si="6"/>
        <v>0</v>
      </c>
      <c r="M17" s="93">
        <f t="shared" si="6"/>
        <v>0</v>
      </c>
      <c r="N17" s="93">
        <v>0</v>
      </c>
      <c r="O17" s="114">
        <f t="shared" si="6"/>
        <v>0</v>
      </c>
      <c r="P17" s="114">
        <f t="shared" si="6"/>
        <v>0</v>
      </c>
      <c r="Q17" s="114">
        <f t="shared" si="6"/>
        <v>0</v>
      </c>
      <c r="R17" s="93">
        <f t="shared" si="6"/>
        <v>0</v>
      </c>
      <c r="S17" s="93">
        <f t="shared" si="6"/>
        <v>0</v>
      </c>
      <c r="T17" s="93">
        <f t="shared" si="6"/>
        <v>0</v>
      </c>
      <c r="U17" s="93">
        <f t="shared" si="6"/>
        <v>0</v>
      </c>
      <c r="V17" s="94">
        <f t="shared" si="6"/>
        <v>0</v>
      </c>
      <c r="W17" s="96">
        <f t="shared" si="6"/>
        <v>0</v>
      </c>
      <c r="X17" s="95">
        <f t="shared" si="6"/>
        <v>0</v>
      </c>
      <c r="Y17" s="93">
        <f t="shared" si="6"/>
        <v>0</v>
      </c>
      <c r="Z17" s="93">
        <f t="shared" si="6"/>
        <v>0</v>
      </c>
      <c r="AA17" s="93">
        <f t="shared" si="6"/>
        <v>0</v>
      </c>
      <c r="AB17" s="93">
        <f t="shared" si="6"/>
        <v>0</v>
      </c>
      <c r="AC17" s="94">
        <f t="shared" si="6"/>
        <v>0</v>
      </c>
      <c r="AD17" s="94">
        <f t="shared" si="6"/>
        <v>0</v>
      </c>
      <c r="AE17" s="93">
        <f t="shared" si="6"/>
        <v>0</v>
      </c>
      <c r="AF17" s="138">
        <f t="shared" si="6"/>
        <v>0</v>
      </c>
      <c r="AG17" s="93">
        <f t="shared" si="6"/>
        <v>0</v>
      </c>
      <c r="AH17" s="139">
        <f t="shared" si="6"/>
        <v>0</v>
      </c>
      <c r="AI17" s="139">
        <f t="shared" si="6"/>
        <v>0</v>
      </c>
      <c r="AJ17" s="154">
        <f t="shared" si="6"/>
        <v>0</v>
      </c>
    </row>
    <row r="18" ht="18" customHeight="1" outlineLevel="1" spans="2:36">
      <c r="B18" s="107"/>
      <c r="C18" s="91" t="s">
        <v>188</v>
      </c>
      <c r="D18" s="92"/>
      <c r="E18" s="92"/>
      <c r="F18" s="93"/>
      <c r="G18" s="93"/>
      <c r="H18" s="94"/>
      <c r="I18" s="94"/>
      <c r="J18" s="93"/>
      <c r="K18" s="93"/>
      <c r="L18" s="93"/>
      <c r="M18" s="93"/>
      <c r="N18" s="93"/>
      <c r="O18" s="114"/>
      <c r="P18" s="114"/>
      <c r="Q18" s="114"/>
      <c r="R18" s="93"/>
      <c r="S18" s="93"/>
      <c r="T18" s="93"/>
      <c r="U18" s="93"/>
      <c r="V18" s="94"/>
      <c r="W18" s="96"/>
      <c r="X18" s="93"/>
      <c r="Y18" s="93"/>
      <c r="Z18" s="93"/>
      <c r="AA18" s="93"/>
      <c r="AB18" s="93"/>
      <c r="AC18" s="94"/>
      <c r="AD18" s="94"/>
      <c r="AE18" s="93"/>
      <c r="AF18" s="93"/>
      <c r="AG18" s="93"/>
      <c r="AH18" s="139"/>
      <c r="AI18" s="139"/>
      <c r="AJ18" s="154"/>
    </row>
    <row r="19" ht="18" customHeight="1" outlineLevel="1" spans="2:36">
      <c r="B19" s="107"/>
      <c r="C19" s="91" t="s">
        <v>189</v>
      </c>
      <c r="D19" s="92"/>
      <c r="E19" s="92"/>
      <c r="F19" s="93">
        <v>700</v>
      </c>
      <c r="G19" s="93">
        <v>700</v>
      </c>
      <c r="H19" s="94">
        <v>700</v>
      </c>
      <c r="I19" s="94">
        <v>700</v>
      </c>
      <c r="J19" s="93">
        <v>700</v>
      </c>
      <c r="K19" s="93">
        <v>700</v>
      </c>
      <c r="L19" s="93">
        <v>700</v>
      </c>
      <c r="M19" s="93">
        <v>700</v>
      </c>
      <c r="N19" s="93">
        <v>700</v>
      </c>
      <c r="O19" s="114">
        <v>700</v>
      </c>
      <c r="P19" s="114">
        <v>700</v>
      </c>
      <c r="Q19" s="114">
        <v>700</v>
      </c>
      <c r="R19" s="93">
        <v>700</v>
      </c>
      <c r="S19" s="93">
        <v>700</v>
      </c>
      <c r="T19" s="93">
        <v>700</v>
      </c>
      <c r="U19" s="93">
        <v>590</v>
      </c>
      <c r="V19" s="94">
        <v>700</v>
      </c>
      <c r="W19" s="96">
        <v>700</v>
      </c>
      <c r="X19" s="95">
        <v>700</v>
      </c>
      <c r="Y19" s="128">
        <v>700</v>
      </c>
      <c r="Z19" s="128">
        <v>700</v>
      </c>
      <c r="AA19" s="128">
        <v>700</v>
      </c>
      <c r="AB19" s="128">
        <v>700</v>
      </c>
      <c r="AC19" s="94">
        <v>700</v>
      </c>
      <c r="AD19" s="94">
        <v>700</v>
      </c>
      <c r="AE19" s="93">
        <v>700</v>
      </c>
      <c r="AF19" s="138">
        <v>700</v>
      </c>
      <c r="AG19" s="93">
        <v>700</v>
      </c>
      <c r="AH19" s="139">
        <v>700</v>
      </c>
      <c r="AI19" s="139">
        <v>700</v>
      </c>
      <c r="AJ19" s="154">
        <v>701</v>
      </c>
    </row>
    <row r="20" ht="18" customHeight="1" outlineLevel="1" spans="2:36">
      <c r="B20" s="107"/>
      <c r="C20" s="91" t="s">
        <v>190</v>
      </c>
      <c r="D20" s="92"/>
      <c r="E20" s="92">
        <f>SUM(F20:AG20)</f>
        <v>0</v>
      </c>
      <c r="F20" s="95">
        <f t="shared" ref="F20:AJ20" si="7">F15*F18*F19</f>
        <v>0</v>
      </c>
      <c r="G20" s="95">
        <f t="shared" si="7"/>
        <v>0</v>
      </c>
      <c r="H20" s="96">
        <f t="shared" si="7"/>
        <v>0</v>
      </c>
      <c r="I20" s="96">
        <f t="shared" si="7"/>
        <v>0</v>
      </c>
      <c r="J20" s="95">
        <f t="shared" si="7"/>
        <v>0</v>
      </c>
      <c r="K20" s="95">
        <f t="shared" si="7"/>
        <v>0</v>
      </c>
      <c r="L20" s="95">
        <f t="shared" si="7"/>
        <v>0</v>
      </c>
      <c r="M20" s="95">
        <f>M15*M18*M19*0.85</f>
        <v>0</v>
      </c>
      <c r="N20" s="95">
        <v>0</v>
      </c>
      <c r="O20" s="115">
        <f t="shared" si="7"/>
        <v>0</v>
      </c>
      <c r="P20" s="115">
        <f t="shared" si="7"/>
        <v>0</v>
      </c>
      <c r="Q20" s="115">
        <f t="shared" si="7"/>
        <v>0</v>
      </c>
      <c r="R20" s="95">
        <f t="shared" si="7"/>
        <v>0</v>
      </c>
      <c r="S20" s="95">
        <f t="shared" si="7"/>
        <v>0</v>
      </c>
      <c r="T20" s="95">
        <f t="shared" si="7"/>
        <v>0</v>
      </c>
      <c r="U20" s="95">
        <f t="shared" si="7"/>
        <v>0</v>
      </c>
      <c r="V20" s="96">
        <f t="shared" si="7"/>
        <v>0</v>
      </c>
      <c r="W20" s="96">
        <f t="shared" si="7"/>
        <v>0</v>
      </c>
      <c r="X20" s="95">
        <f t="shared" si="7"/>
        <v>0</v>
      </c>
      <c r="Y20" s="128">
        <f t="shared" si="7"/>
        <v>0</v>
      </c>
      <c r="Z20" s="128">
        <f t="shared" si="7"/>
        <v>0</v>
      </c>
      <c r="AA20" s="128">
        <f t="shared" si="7"/>
        <v>0</v>
      </c>
      <c r="AB20" s="128">
        <f t="shared" si="7"/>
        <v>0</v>
      </c>
      <c r="AC20" s="123">
        <f t="shared" si="7"/>
        <v>0</v>
      </c>
      <c r="AD20" s="96">
        <f t="shared" si="7"/>
        <v>0</v>
      </c>
      <c r="AE20" s="95">
        <f t="shared" si="7"/>
        <v>0</v>
      </c>
      <c r="AF20" s="139">
        <f t="shared" si="7"/>
        <v>0</v>
      </c>
      <c r="AG20" s="95">
        <f t="shared" si="7"/>
        <v>0</v>
      </c>
      <c r="AH20" s="139">
        <f t="shared" si="7"/>
        <v>0</v>
      </c>
      <c r="AI20" s="139">
        <f t="shared" si="7"/>
        <v>0</v>
      </c>
      <c r="AJ20" s="154">
        <f t="shared" si="7"/>
        <v>0</v>
      </c>
    </row>
    <row r="21" ht="18" customHeight="1" outlineLevel="1" spans="2:36">
      <c r="B21" s="90"/>
      <c r="C21" s="91" t="s">
        <v>191</v>
      </c>
      <c r="D21" s="92"/>
      <c r="E21" s="108">
        <f>SUM(F21:AJ21)</f>
        <v>0</v>
      </c>
      <c r="F21" s="98"/>
      <c r="G21" s="99"/>
      <c r="H21" s="100"/>
      <c r="I21" s="100"/>
      <c r="J21" s="99"/>
      <c r="K21" s="99"/>
      <c r="L21" s="95"/>
      <c r="M21" s="95"/>
      <c r="N21" s="95"/>
      <c r="O21" s="115"/>
      <c r="P21" s="115"/>
      <c r="Q21" s="115"/>
      <c r="R21" s="95"/>
      <c r="S21" s="95"/>
      <c r="T21" s="95"/>
      <c r="U21" s="95"/>
      <c r="V21" s="96"/>
      <c r="W21" s="96"/>
      <c r="X21" s="95"/>
      <c r="Y21" s="128"/>
      <c r="Z21" s="95"/>
      <c r="AA21" s="95"/>
      <c r="AB21" s="95"/>
      <c r="AC21" s="96"/>
      <c r="AD21" s="96"/>
      <c r="AE21" s="95"/>
      <c r="AF21" s="139"/>
      <c r="AG21" s="159"/>
      <c r="AH21" s="139"/>
      <c r="AI21" s="139"/>
      <c r="AJ21" s="154"/>
    </row>
    <row r="22" ht="18" customHeight="1" outlineLevel="1" spans="2:36">
      <c r="B22" s="107"/>
      <c r="C22" s="91" t="s">
        <v>192</v>
      </c>
      <c r="D22" s="92"/>
      <c r="E22" s="92"/>
      <c r="F22" s="95">
        <f t="shared" ref="F22:AJ22" si="8">F21-F20</f>
        <v>0</v>
      </c>
      <c r="G22" s="95">
        <f t="shared" si="8"/>
        <v>0</v>
      </c>
      <c r="H22" s="96">
        <f t="shared" si="8"/>
        <v>0</v>
      </c>
      <c r="I22" s="96">
        <f t="shared" si="8"/>
        <v>0</v>
      </c>
      <c r="J22" s="95">
        <f t="shared" si="8"/>
        <v>0</v>
      </c>
      <c r="K22" s="95">
        <f t="shared" si="8"/>
        <v>0</v>
      </c>
      <c r="L22" s="95">
        <f t="shared" si="8"/>
        <v>0</v>
      </c>
      <c r="M22" s="95">
        <f t="shared" si="8"/>
        <v>0</v>
      </c>
      <c r="N22" s="95">
        <v>0</v>
      </c>
      <c r="O22" s="115">
        <f t="shared" si="8"/>
        <v>0</v>
      </c>
      <c r="P22" s="115">
        <f t="shared" si="8"/>
        <v>0</v>
      </c>
      <c r="Q22" s="115">
        <f t="shared" si="8"/>
        <v>0</v>
      </c>
      <c r="R22" s="95">
        <f t="shared" si="8"/>
        <v>0</v>
      </c>
      <c r="S22" s="95">
        <f t="shared" si="8"/>
        <v>0</v>
      </c>
      <c r="T22" s="95">
        <f t="shared" si="8"/>
        <v>0</v>
      </c>
      <c r="U22" s="95">
        <f t="shared" si="8"/>
        <v>0</v>
      </c>
      <c r="V22" s="96">
        <f t="shared" si="8"/>
        <v>0</v>
      </c>
      <c r="W22" s="123">
        <f t="shared" si="8"/>
        <v>0</v>
      </c>
      <c r="X22" s="95">
        <f t="shared" si="8"/>
        <v>0</v>
      </c>
      <c r="Y22" s="128">
        <f t="shared" si="8"/>
        <v>0</v>
      </c>
      <c r="Z22" s="128">
        <f t="shared" si="8"/>
        <v>0</v>
      </c>
      <c r="AA22" s="128">
        <f t="shared" si="8"/>
        <v>0</v>
      </c>
      <c r="AB22" s="128">
        <f t="shared" si="8"/>
        <v>0</v>
      </c>
      <c r="AC22" s="96">
        <f t="shared" si="8"/>
        <v>0</v>
      </c>
      <c r="AD22" s="96">
        <f t="shared" si="8"/>
        <v>0</v>
      </c>
      <c r="AE22" s="95">
        <f t="shared" si="8"/>
        <v>0</v>
      </c>
      <c r="AF22" s="139">
        <f t="shared" si="8"/>
        <v>0</v>
      </c>
      <c r="AG22" s="95">
        <f t="shared" si="8"/>
        <v>0</v>
      </c>
      <c r="AH22" s="139">
        <f t="shared" si="8"/>
        <v>0</v>
      </c>
      <c r="AI22" s="139">
        <f t="shared" si="8"/>
        <v>0</v>
      </c>
      <c r="AJ22" s="154">
        <f t="shared" si="8"/>
        <v>0</v>
      </c>
    </row>
    <row r="23" s="52" customFormat="1" ht="18" customHeight="1" outlineLevel="1" spans="1:36">
      <c r="A23" s="54"/>
      <c r="B23" s="107"/>
      <c r="C23" s="91" t="s">
        <v>193</v>
      </c>
      <c r="D23" s="92"/>
      <c r="E23" s="92"/>
      <c r="F23" s="95">
        <f t="shared" ref="F23:AJ23" si="9">E23+F21</f>
        <v>0</v>
      </c>
      <c r="G23" s="95">
        <f t="shared" si="9"/>
        <v>0</v>
      </c>
      <c r="H23" s="96">
        <f t="shared" si="9"/>
        <v>0</v>
      </c>
      <c r="I23" s="96">
        <f t="shared" si="9"/>
        <v>0</v>
      </c>
      <c r="J23" s="95">
        <f t="shared" si="9"/>
        <v>0</v>
      </c>
      <c r="K23" s="95">
        <f t="shared" si="9"/>
        <v>0</v>
      </c>
      <c r="L23" s="95">
        <f t="shared" si="9"/>
        <v>0</v>
      </c>
      <c r="M23" s="95">
        <f t="shared" si="9"/>
        <v>0</v>
      </c>
      <c r="N23" s="95">
        <v>0</v>
      </c>
      <c r="O23" s="115">
        <f t="shared" si="9"/>
        <v>0</v>
      </c>
      <c r="P23" s="115">
        <f t="shared" si="9"/>
        <v>0</v>
      </c>
      <c r="Q23" s="115">
        <f t="shared" si="9"/>
        <v>0</v>
      </c>
      <c r="R23" s="95">
        <f t="shared" si="9"/>
        <v>0</v>
      </c>
      <c r="S23" s="95">
        <f t="shared" si="9"/>
        <v>0</v>
      </c>
      <c r="T23" s="95">
        <f t="shared" si="9"/>
        <v>0</v>
      </c>
      <c r="U23" s="95">
        <f t="shared" si="9"/>
        <v>0</v>
      </c>
      <c r="V23" s="96">
        <f t="shared" si="9"/>
        <v>0</v>
      </c>
      <c r="W23" s="123">
        <f t="shared" si="9"/>
        <v>0</v>
      </c>
      <c r="X23" s="95">
        <f t="shared" si="9"/>
        <v>0</v>
      </c>
      <c r="Y23" s="128">
        <f t="shared" si="9"/>
        <v>0</v>
      </c>
      <c r="Z23" s="128">
        <f t="shared" si="9"/>
        <v>0</v>
      </c>
      <c r="AA23" s="128">
        <f t="shared" si="9"/>
        <v>0</v>
      </c>
      <c r="AB23" s="128">
        <f t="shared" si="9"/>
        <v>0</v>
      </c>
      <c r="AC23" s="96">
        <f t="shared" si="9"/>
        <v>0</v>
      </c>
      <c r="AD23" s="96">
        <f t="shared" si="9"/>
        <v>0</v>
      </c>
      <c r="AE23" s="95">
        <f t="shared" si="9"/>
        <v>0</v>
      </c>
      <c r="AF23" s="95">
        <f t="shared" si="9"/>
        <v>0</v>
      </c>
      <c r="AG23" s="95">
        <f t="shared" si="9"/>
        <v>0</v>
      </c>
      <c r="AH23" s="139">
        <f t="shared" si="9"/>
        <v>0</v>
      </c>
      <c r="AI23" s="139">
        <f t="shared" si="9"/>
        <v>0</v>
      </c>
      <c r="AJ23" s="154">
        <f t="shared" si="9"/>
        <v>0</v>
      </c>
    </row>
    <row r="24" ht="18" customHeight="1" spans="2:36">
      <c r="B24" s="109"/>
      <c r="C24" s="102" t="s">
        <v>194</v>
      </c>
      <c r="D24" s="103"/>
      <c r="E24" s="103"/>
      <c r="F24" s="104" t="str">
        <f>IF(F21&gt;0,F21/F20,"")</f>
        <v/>
      </c>
      <c r="G24" s="104"/>
      <c r="H24" s="105"/>
      <c r="I24" s="105"/>
      <c r="J24" s="104"/>
      <c r="K24" s="104"/>
      <c r="L24" s="104" t="str">
        <f>IF(L21&gt;0,L21/L20,"")</f>
        <v/>
      </c>
      <c r="M24" s="104" t="str">
        <f>IF(M21&gt;0,M21/M20,"")</f>
        <v/>
      </c>
      <c r="N24" s="104" t="s">
        <v>195</v>
      </c>
      <c r="O24" s="116" t="str">
        <f t="shared" ref="O24:AJ24" si="10">IF(O21&gt;0,O21/O20,"")</f>
        <v/>
      </c>
      <c r="P24" s="116" t="str">
        <f t="shared" si="10"/>
        <v/>
      </c>
      <c r="Q24" s="116" t="str">
        <f t="shared" si="10"/>
        <v/>
      </c>
      <c r="R24" s="104" t="str">
        <f t="shared" si="10"/>
        <v/>
      </c>
      <c r="S24" s="104" t="str">
        <f t="shared" si="10"/>
        <v/>
      </c>
      <c r="T24" s="104" t="str">
        <f t="shared" si="10"/>
        <v/>
      </c>
      <c r="U24" s="104" t="str">
        <f t="shared" si="10"/>
        <v/>
      </c>
      <c r="V24" s="105" t="str">
        <f t="shared" si="10"/>
        <v/>
      </c>
      <c r="W24" s="105" t="str">
        <f t="shared" si="10"/>
        <v/>
      </c>
      <c r="X24" s="124" t="str">
        <f t="shared" si="10"/>
        <v/>
      </c>
      <c r="Y24" s="104" t="str">
        <f t="shared" si="10"/>
        <v/>
      </c>
      <c r="Z24" s="142" t="str">
        <f t="shared" si="10"/>
        <v/>
      </c>
      <c r="AA24" s="104" t="str">
        <f t="shared" si="10"/>
        <v/>
      </c>
      <c r="AB24" s="104" t="str">
        <f t="shared" si="10"/>
        <v/>
      </c>
      <c r="AC24" s="105" t="str">
        <f t="shared" si="10"/>
        <v/>
      </c>
      <c r="AD24" s="105" t="str">
        <f t="shared" si="10"/>
        <v/>
      </c>
      <c r="AE24" s="104" t="str">
        <f t="shared" si="10"/>
        <v/>
      </c>
      <c r="AF24" s="141" t="str">
        <f t="shared" si="10"/>
        <v/>
      </c>
      <c r="AG24" s="104" t="str">
        <f t="shared" si="10"/>
        <v/>
      </c>
      <c r="AH24" s="155" t="str">
        <f t="shared" si="10"/>
        <v/>
      </c>
      <c r="AI24" s="155" t="str">
        <f t="shared" si="10"/>
        <v/>
      </c>
      <c r="AJ24" s="156" t="str">
        <f t="shared" si="10"/>
        <v/>
      </c>
    </row>
    <row r="25" ht="18" customHeight="1" outlineLevel="1" spans="2:36">
      <c r="B25" s="106" t="s">
        <v>137</v>
      </c>
      <c r="C25" s="86" t="s">
        <v>185</v>
      </c>
      <c r="D25" s="87"/>
      <c r="E25" s="87"/>
      <c r="F25" s="88"/>
      <c r="G25" s="88">
        <v>1</v>
      </c>
      <c r="H25" s="89">
        <v>1</v>
      </c>
      <c r="I25" s="89">
        <v>1</v>
      </c>
      <c r="J25" s="88">
        <v>1</v>
      </c>
      <c r="K25" s="88">
        <v>1</v>
      </c>
      <c r="L25" s="88">
        <v>1</v>
      </c>
      <c r="M25" s="88">
        <v>1</v>
      </c>
      <c r="N25" s="88">
        <v>1</v>
      </c>
      <c r="O25" s="113">
        <v>0</v>
      </c>
      <c r="P25" s="113">
        <v>0</v>
      </c>
      <c r="Q25" s="125">
        <v>1</v>
      </c>
      <c r="R25" s="88">
        <v>1</v>
      </c>
      <c r="S25" s="88">
        <v>1</v>
      </c>
      <c r="T25" s="88">
        <v>1</v>
      </c>
      <c r="U25" s="88">
        <v>1</v>
      </c>
      <c r="V25" s="89">
        <v>1</v>
      </c>
      <c r="W25" s="122">
        <v>1</v>
      </c>
      <c r="X25" s="117">
        <v>3</v>
      </c>
      <c r="Y25" s="88">
        <v>3</v>
      </c>
      <c r="Z25" s="127">
        <v>3</v>
      </c>
      <c r="AA25" s="127">
        <v>3</v>
      </c>
      <c r="AB25" s="127">
        <v>3</v>
      </c>
      <c r="AC25" s="89">
        <v>3</v>
      </c>
      <c r="AD25" s="89">
        <v>3</v>
      </c>
      <c r="AE25" s="88">
        <v>3</v>
      </c>
      <c r="AF25" s="137">
        <v>1</v>
      </c>
      <c r="AG25" s="88"/>
      <c r="AH25" s="157"/>
      <c r="AI25" s="157"/>
      <c r="AJ25" s="158"/>
    </row>
    <row r="26" ht="18" customHeight="1" outlineLevel="1" spans="2:36">
      <c r="B26" s="107"/>
      <c r="C26" s="91" t="s">
        <v>186</v>
      </c>
      <c r="D26" s="92"/>
      <c r="E26" s="92"/>
      <c r="F26" s="93">
        <v>46</v>
      </c>
      <c r="G26" s="93">
        <v>46</v>
      </c>
      <c r="H26" s="94">
        <v>46</v>
      </c>
      <c r="I26" s="94">
        <v>46</v>
      </c>
      <c r="J26" s="93">
        <v>46</v>
      </c>
      <c r="K26" s="93">
        <v>46</v>
      </c>
      <c r="L26" s="93">
        <v>46</v>
      </c>
      <c r="M26" s="93">
        <v>46</v>
      </c>
      <c r="N26" s="93">
        <v>46</v>
      </c>
      <c r="O26" s="114">
        <v>46</v>
      </c>
      <c r="P26" s="114">
        <v>46</v>
      </c>
      <c r="Q26" s="114">
        <v>46</v>
      </c>
      <c r="R26" s="93">
        <v>46</v>
      </c>
      <c r="S26" s="93">
        <v>46</v>
      </c>
      <c r="T26" s="93">
        <v>46</v>
      </c>
      <c r="U26" s="93">
        <v>46</v>
      </c>
      <c r="V26" s="94">
        <v>46</v>
      </c>
      <c r="W26" s="96">
        <v>46</v>
      </c>
      <c r="X26" s="93">
        <v>46</v>
      </c>
      <c r="Y26" s="93">
        <v>46</v>
      </c>
      <c r="Z26" s="93">
        <v>46</v>
      </c>
      <c r="AA26" s="93">
        <v>46</v>
      </c>
      <c r="AB26" s="93">
        <v>46</v>
      </c>
      <c r="AC26" s="94">
        <v>46</v>
      </c>
      <c r="AD26" s="94">
        <v>46</v>
      </c>
      <c r="AE26" s="93">
        <v>46</v>
      </c>
      <c r="AF26" s="93">
        <v>46</v>
      </c>
      <c r="AG26" s="93">
        <v>46</v>
      </c>
      <c r="AH26" s="93">
        <v>46</v>
      </c>
      <c r="AI26" s="139">
        <v>46</v>
      </c>
      <c r="AJ26" s="154">
        <v>46</v>
      </c>
    </row>
    <row r="27" ht="18" customHeight="1" outlineLevel="1" spans="2:36">
      <c r="B27" s="107"/>
      <c r="C27" s="91" t="s">
        <v>187</v>
      </c>
      <c r="D27" s="92"/>
      <c r="E27" s="92"/>
      <c r="F27" s="93">
        <f t="shared" ref="F27:AJ27" si="11">F25*F26</f>
        <v>0</v>
      </c>
      <c r="G27" s="93">
        <f t="shared" si="11"/>
        <v>46</v>
      </c>
      <c r="H27" s="94">
        <f t="shared" si="11"/>
        <v>46</v>
      </c>
      <c r="I27" s="94">
        <f t="shared" si="11"/>
        <v>46</v>
      </c>
      <c r="J27" s="93">
        <f t="shared" si="11"/>
        <v>46</v>
      </c>
      <c r="K27" s="93">
        <f t="shared" si="11"/>
        <v>46</v>
      </c>
      <c r="L27" s="93">
        <f t="shared" si="11"/>
        <v>46</v>
      </c>
      <c r="M27" s="93">
        <f t="shared" si="11"/>
        <v>46</v>
      </c>
      <c r="N27" s="93">
        <v>46</v>
      </c>
      <c r="O27" s="114">
        <f t="shared" si="11"/>
        <v>0</v>
      </c>
      <c r="P27" s="114">
        <f t="shared" si="11"/>
        <v>0</v>
      </c>
      <c r="Q27" s="114">
        <f t="shared" si="11"/>
        <v>46</v>
      </c>
      <c r="R27" s="93">
        <f t="shared" si="11"/>
        <v>46</v>
      </c>
      <c r="S27" s="93">
        <f t="shared" si="11"/>
        <v>46</v>
      </c>
      <c r="T27" s="93">
        <f t="shared" si="11"/>
        <v>46</v>
      </c>
      <c r="U27" s="93">
        <f t="shared" si="11"/>
        <v>46</v>
      </c>
      <c r="V27" s="94">
        <f t="shared" si="11"/>
        <v>46</v>
      </c>
      <c r="W27" s="96">
        <f t="shared" si="11"/>
        <v>46</v>
      </c>
      <c r="X27" s="95">
        <f t="shared" si="11"/>
        <v>138</v>
      </c>
      <c r="Y27" s="93">
        <f t="shared" si="11"/>
        <v>138</v>
      </c>
      <c r="Z27" s="93">
        <f t="shared" si="11"/>
        <v>138</v>
      </c>
      <c r="AA27" s="93">
        <f t="shared" si="11"/>
        <v>138</v>
      </c>
      <c r="AB27" s="93">
        <f t="shared" si="11"/>
        <v>138</v>
      </c>
      <c r="AC27" s="94">
        <f t="shared" si="11"/>
        <v>138</v>
      </c>
      <c r="AD27" s="94">
        <f t="shared" si="11"/>
        <v>138</v>
      </c>
      <c r="AE27" s="93">
        <f t="shared" si="11"/>
        <v>138</v>
      </c>
      <c r="AF27" s="138">
        <f t="shared" si="11"/>
        <v>46</v>
      </c>
      <c r="AG27" s="93">
        <f t="shared" si="11"/>
        <v>0</v>
      </c>
      <c r="AH27" s="139">
        <f t="shared" si="11"/>
        <v>0</v>
      </c>
      <c r="AI27" s="139">
        <f t="shared" si="11"/>
        <v>0</v>
      </c>
      <c r="AJ27" s="154">
        <f t="shared" si="11"/>
        <v>0</v>
      </c>
    </row>
    <row r="28" ht="18" customHeight="1" outlineLevel="1" spans="2:36">
      <c r="B28" s="107"/>
      <c r="C28" s="91" t="s">
        <v>188</v>
      </c>
      <c r="D28" s="92"/>
      <c r="E28" s="92"/>
      <c r="F28" s="93">
        <v>8</v>
      </c>
      <c r="G28" s="93">
        <v>8</v>
      </c>
      <c r="H28" s="94">
        <v>11.5</v>
      </c>
      <c r="I28" s="94">
        <v>8</v>
      </c>
      <c r="J28" s="93">
        <v>11.5</v>
      </c>
      <c r="K28" s="93">
        <v>11.5</v>
      </c>
      <c r="L28" s="93">
        <v>8</v>
      </c>
      <c r="M28" s="93">
        <v>8</v>
      </c>
      <c r="N28" s="93">
        <v>8</v>
      </c>
      <c r="O28" s="114">
        <v>11</v>
      </c>
      <c r="P28" s="114">
        <v>8</v>
      </c>
      <c r="Q28" s="114">
        <v>11.5</v>
      </c>
      <c r="R28" s="93">
        <v>11.5</v>
      </c>
      <c r="S28" s="93">
        <v>11.5</v>
      </c>
      <c r="T28" s="93">
        <v>12</v>
      </c>
      <c r="U28" s="93">
        <v>12</v>
      </c>
      <c r="V28" s="94">
        <v>12</v>
      </c>
      <c r="W28" s="96">
        <v>11.5</v>
      </c>
      <c r="X28" s="93">
        <v>11.5</v>
      </c>
      <c r="Y28" s="93">
        <v>11.5</v>
      </c>
      <c r="Z28" s="93">
        <v>11.5</v>
      </c>
      <c r="AA28" s="93">
        <v>11.5</v>
      </c>
      <c r="AB28" s="93">
        <v>11.5</v>
      </c>
      <c r="AC28" s="94">
        <v>11.5</v>
      </c>
      <c r="AD28" s="94">
        <v>11.5</v>
      </c>
      <c r="AE28" s="93">
        <v>11.5</v>
      </c>
      <c r="AF28" s="93">
        <v>11.5</v>
      </c>
      <c r="AG28" s="93">
        <v>11.5</v>
      </c>
      <c r="AH28" s="139">
        <v>11.5</v>
      </c>
      <c r="AI28" s="139">
        <v>11.5</v>
      </c>
      <c r="AJ28" s="154"/>
    </row>
    <row r="29" ht="18" customHeight="1" outlineLevel="1" spans="2:36">
      <c r="B29" s="107"/>
      <c r="C29" s="91" t="s">
        <v>189</v>
      </c>
      <c r="D29" s="92"/>
      <c r="E29" s="92"/>
      <c r="F29" s="93">
        <v>1110</v>
      </c>
      <c r="G29" s="93">
        <v>1110</v>
      </c>
      <c r="H29" s="94">
        <v>1110</v>
      </c>
      <c r="I29" s="94">
        <v>1110</v>
      </c>
      <c r="J29" s="93">
        <v>1110</v>
      </c>
      <c r="K29" s="93">
        <v>1110</v>
      </c>
      <c r="L29" s="93">
        <v>1110</v>
      </c>
      <c r="M29" s="93">
        <v>1110</v>
      </c>
      <c r="N29" s="93">
        <v>1110</v>
      </c>
      <c r="O29" s="114">
        <v>1110</v>
      </c>
      <c r="P29" s="114">
        <v>1100</v>
      </c>
      <c r="Q29" s="114">
        <v>1100</v>
      </c>
      <c r="R29" s="93">
        <v>1110</v>
      </c>
      <c r="S29" s="93">
        <v>1110</v>
      </c>
      <c r="T29" s="93">
        <v>1110</v>
      </c>
      <c r="U29" s="93">
        <v>1110</v>
      </c>
      <c r="V29" s="94">
        <v>1110</v>
      </c>
      <c r="W29" s="96">
        <v>1110</v>
      </c>
      <c r="X29" s="93">
        <v>1110</v>
      </c>
      <c r="Y29" s="93">
        <v>1110</v>
      </c>
      <c r="Z29" s="93">
        <v>1110</v>
      </c>
      <c r="AA29" s="93">
        <v>1110</v>
      </c>
      <c r="AB29" s="93">
        <v>1110</v>
      </c>
      <c r="AC29" s="94">
        <v>1110</v>
      </c>
      <c r="AD29" s="94">
        <v>1110</v>
      </c>
      <c r="AE29" s="93">
        <v>1110</v>
      </c>
      <c r="AF29" s="93">
        <v>1110</v>
      </c>
      <c r="AG29" s="93">
        <v>1110</v>
      </c>
      <c r="AH29" s="93">
        <v>1110</v>
      </c>
      <c r="AI29" s="139">
        <v>1110</v>
      </c>
      <c r="AJ29" s="154">
        <v>1111</v>
      </c>
    </row>
    <row r="30" ht="18" customHeight="1" outlineLevel="1" spans="2:36">
      <c r="B30" s="107"/>
      <c r="C30" s="91" t="s">
        <v>190</v>
      </c>
      <c r="D30" s="92">
        <v>420000</v>
      </c>
      <c r="E30" s="92">
        <f>SUM(F30:AJ30)</f>
        <v>463096.325</v>
      </c>
      <c r="F30" s="95">
        <f>F25*F28*F29</f>
        <v>0</v>
      </c>
      <c r="G30" s="95">
        <f>G25*G28*G29*0.75</f>
        <v>6660</v>
      </c>
      <c r="H30" s="96">
        <f>H25*H28*H29</f>
        <v>12765</v>
      </c>
      <c r="I30" s="96">
        <f>I25*I28*I29</f>
        <v>8880</v>
      </c>
      <c r="J30" s="95">
        <f>J25*J28*J29</f>
        <v>12765</v>
      </c>
      <c r="K30" s="95">
        <f>K25*K28*K29*0.9</f>
        <v>11488.5</v>
      </c>
      <c r="L30" s="95">
        <f>L25*L28*L29*0.9</f>
        <v>7992</v>
      </c>
      <c r="M30" s="95">
        <f>M25*M28*M29*0.95</f>
        <v>8436</v>
      </c>
      <c r="N30" s="95">
        <v>8880</v>
      </c>
      <c r="O30" s="115">
        <f t="shared" ref="O30:S30" si="12">O25*O28*O29</f>
        <v>0</v>
      </c>
      <c r="P30" s="115">
        <f t="shared" si="12"/>
        <v>0</v>
      </c>
      <c r="Q30" s="115">
        <f t="shared" si="12"/>
        <v>12650</v>
      </c>
      <c r="R30" s="95">
        <f t="shared" si="12"/>
        <v>12765</v>
      </c>
      <c r="S30" s="95">
        <f t="shared" si="12"/>
        <v>12765</v>
      </c>
      <c r="T30" s="95">
        <f>T25*T28*T29*0.775</f>
        <v>10323</v>
      </c>
      <c r="U30" s="95">
        <f>U25*U28*U29*0.825</f>
        <v>10989</v>
      </c>
      <c r="V30" s="96">
        <f>V25*V28*V29*0.875</f>
        <v>11655</v>
      </c>
      <c r="W30" s="96">
        <f>W25*W28*W29*0.925</f>
        <v>11807.625</v>
      </c>
      <c r="X30" s="95">
        <f>X25*X28*X29*0.84</f>
        <v>32167.8</v>
      </c>
      <c r="Y30" s="128">
        <f>Y25*Y28*Y29*0.87</f>
        <v>33316.65</v>
      </c>
      <c r="Z30" s="128">
        <f>Z25*Z28*Z29*0.9</f>
        <v>34465.5</v>
      </c>
      <c r="AA30" s="128">
        <f>AA25*AA28*AA29*0.95</f>
        <v>36380.25</v>
      </c>
      <c r="AB30" s="128">
        <f>AB25*AB28*AB29</f>
        <v>38295</v>
      </c>
      <c r="AC30" s="123">
        <f>AC25*AC28*AC29</f>
        <v>38295</v>
      </c>
      <c r="AD30" s="96">
        <f t="shared" ref="AD30:AJ30" si="13">AD25*AD28*AD29</f>
        <v>38295</v>
      </c>
      <c r="AE30" s="95">
        <f t="shared" si="13"/>
        <v>38295</v>
      </c>
      <c r="AF30" s="139">
        <f t="shared" si="13"/>
        <v>12765</v>
      </c>
      <c r="AG30" s="95">
        <f t="shared" si="13"/>
        <v>0</v>
      </c>
      <c r="AH30" s="139">
        <f t="shared" si="13"/>
        <v>0</v>
      </c>
      <c r="AI30" s="139">
        <f t="shared" si="13"/>
        <v>0</v>
      </c>
      <c r="AJ30" s="154">
        <f t="shared" si="13"/>
        <v>0</v>
      </c>
    </row>
    <row r="31" ht="18" customHeight="1" outlineLevel="1" spans="2:36">
      <c r="B31" s="90"/>
      <c r="C31" s="91" t="s">
        <v>191</v>
      </c>
      <c r="D31" s="92"/>
      <c r="E31" s="108">
        <f>SUM(F31:AJ31)</f>
        <v>450786</v>
      </c>
      <c r="F31" s="98"/>
      <c r="G31" s="99">
        <v>6700</v>
      </c>
      <c r="H31" s="100">
        <v>12300</v>
      </c>
      <c r="I31" s="100">
        <v>8550</v>
      </c>
      <c r="J31" s="99">
        <v>13350</v>
      </c>
      <c r="K31" s="99">
        <v>13400</v>
      </c>
      <c r="L31" s="95">
        <v>9740</v>
      </c>
      <c r="M31" s="95">
        <v>9100</v>
      </c>
      <c r="N31" s="95">
        <v>9150</v>
      </c>
      <c r="O31" s="115"/>
      <c r="P31" s="115"/>
      <c r="Q31" s="115">
        <v>9000</v>
      </c>
      <c r="R31" s="99">
        <v>13320</v>
      </c>
      <c r="S31" s="95">
        <v>13350</v>
      </c>
      <c r="T31" s="95">
        <v>13540</v>
      </c>
      <c r="U31" s="95">
        <v>13350</v>
      </c>
      <c r="V31" s="96">
        <v>13850</v>
      </c>
      <c r="W31" s="96">
        <v>13320</v>
      </c>
      <c r="X31" s="95">
        <v>27690</v>
      </c>
      <c r="Y31" s="128">
        <v>23200</v>
      </c>
      <c r="Z31" s="95">
        <v>26260</v>
      </c>
      <c r="AA31" s="95">
        <v>30979</v>
      </c>
      <c r="AB31" s="95">
        <v>36744</v>
      </c>
      <c r="AC31" s="96">
        <v>36097</v>
      </c>
      <c r="AD31" s="96">
        <v>31490</v>
      </c>
      <c r="AE31" s="95">
        <v>26015</v>
      </c>
      <c r="AF31" s="139">
        <v>12880</v>
      </c>
      <c r="AG31" s="95">
        <v>5181</v>
      </c>
      <c r="AH31" s="139">
        <v>13350</v>
      </c>
      <c r="AI31" s="139">
        <v>8880</v>
      </c>
      <c r="AJ31" s="154"/>
    </row>
    <row r="32" ht="18" customHeight="1" outlineLevel="1" spans="2:36">
      <c r="B32" s="107"/>
      <c r="C32" s="91" t="s">
        <v>192</v>
      </c>
      <c r="D32" s="92"/>
      <c r="E32" s="92"/>
      <c r="F32" s="95">
        <f t="shared" ref="F32:AJ32" si="14">F31-F30</f>
        <v>0</v>
      </c>
      <c r="G32" s="95">
        <f t="shared" si="14"/>
        <v>40</v>
      </c>
      <c r="H32" s="96">
        <f t="shared" si="14"/>
        <v>-465</v>
      </c>
      <c r="I32" s="96">
        <f t="shared" si="14"/>
        <v>-330</v>
      </c>
      <c r="J32" s="95">
        <f t="shared" si="14"/>
        <v>585</v>
      </c>
      <c r="K32" s="95">
        <f t="shared" si="14"/>
        <v>1911.5</v>
      </c>
      <c r="L32" s="95">
        <f t="shared" si="14"/>
        <v>1748</v>
      </c>
      <c r="M32" s="95">
        <f t="shared" si="14"/>
        <v>664</v>
      </c>
      <c r="N32" s="95">
        <v>270</v>
      </c>
      <c r="O32" s="115">
        <f t="shared" si="14"/>
        <v>0</v>
      </c>
      <c r="P32" s="115">
        <f t="shared" si="14"/>
        <v>0</v>
      </c>
      <c r="Q32" s="115">
        <f t="shared" si="14"/>
        <v>-3650</v>
      </c>
      <c r="R32" s="95">
        <f t="shared" si="14"/>
        <v>555</v>
      </c>
      <c r="S32" s="95">
        <f t="shared" si="14"/>
        <v>585</v>
      </c>
      <c r="T32" s="95">
        <f t="shared" si="14"/>
        <v>3217</v>
      </c>
      <c r="U32" s="95">
        <f t="shared" si="14"/>
        <v>2361</v>
      </c>
      <c r="V32" s="96">
        <f t="shared" si="14"/>
        <v>2195</v>
      </c>
      <c r="W32" s="123">
        <f t="shared" si="14"/>
        <v>1512.375</v>
      </c>
      <c r="X32" s="95">
        <f t="shared" si="14"/>
        <v>-4477.8</v>
      </c>
      <c r="Y32" s="128">
        <f t="shared" si="14"/>
        <v>-10116.65</v>
      </c>
      <c r="Z32" s="128">
        <f t="shared" si="14"/>
        <v>-8205.5</v>
      </c>
      <c r="AA32" s="128">
        <f t="shared" si="14"/>
        <v>-5401.25</v>
      </c>
      <c r="AB32" s="128">
        <f t="shared" si="14"/>
        <v>-1551</v>
      </c>
      <c r="AC32" s="96">
        <f t="shared" si="14"/>
        <v>-2198</v>
      </c>
      <c r="AD32" s="96">
        <f t="shared" si="14"/>
        <v>-6805</v>
      </c>
      <c r="AE32" s="95">
        <f t="shared" si="14"/>
        <v>-12280</v>
      </c>
      <c r="AF32" s="139">
        <f t="shared" si="14"/>
        <v>115</v>
      </c>
      <c r="AG32" s="95">
        <f t="shared" si="14"/>
        <v>5181</v>
      </c>
      <c r="AH32" s="139">
        <f t="shared" si="14"/>
        <v>13350</v>
      </c>
      <c r="AI32" s="139">
        <f t="shared" si="14"/>
        <v>8880</v>
      </c>
      <c r="AJ32" s="154">
        <f t="shared" si="14"/>
        <v>0</v>
      </c>
    </row>
    <row r="33" s="52" customFormat="1" ht="18" customHeight="1" outlineLevel="1" spans="1:36">
      <c r="A33" s="54"/>
      <c r="B33" s="107"/>
      <c r="C33" s="91" t="s">
        <v>193</v>
      </c>
      <c r="D33" s="92"/>
      <c r="E33" s="92"/>
      <c r="F33" s="95">
        <f t="shared" ref="F33:AJ33" si="15">E33+F31</f>
        <v>0</v>
      </c>
      <c r="G33" s="95">
        <f t="shared" si="15"/>
        <v>6700</v>
      </c>
      <c r="H33" s="96">
        <f t="shared" si="15"/>
        <v>19000</v>
      </c>
      <c r="I33" s="96">
        <f t="shared" si="15"/>
        <v>27550</v>
      </c>
      <c r="J33" s="95">
        <f t="shared" si="15"/>
        <v>40900</v>
      </c>
      <c r="K33" s="95">
        <f t="shared" si="15"/>
        <v>54300</v>
      </c>
      <c r="L33" s="95">
        <f t="shared" si="15"/>
        <v>64040</v>
      </c>
      <c r="M33" s="95">
        <f t="shared" si="15"/>
        <v>73140</v>
      </c>
      <c r="N33" s="95">
        <v>82290</v>
      </c>
      <c r="O33" s="115">
        <f t="shared" si="15"/>
        <v>82290</v>
      </c>
      <c r="P33" s="115">
        <f t="shared" si="15"/>
        <v>82290</v>
      </c>
      <c r="Q33" s="115">
        <f t="shared" si="15"/>
        <v>91290</v>
      </c>
      <c r="R33" s="95">
        <f t="shared" si="15"/>
        <v>104610</v>
      </c>
      <c r="S33" s="95">
        <f t="shared" si="15"/>
        <v>117960</v>
      </c>
      <c r="T33" s="95">
        <f t="shared" si="15"/>
        <v>131500</v>
      </c>
      <c r="U33" s="95">
        <f t="shared" si="15"/>
        <v>144850</v>
      </c>
      <c r="V33" s="96">
        <f t="shared" si="15"/>
        <v>158700</v>
      </c>
      <c r="W33" s="123">
        <f t="shared" si="15"/>
        <v>172020</v>
      </c>
      <c r="X33" s="95">
        <f t="shared" si="15"/>
        <v>199710</v>
      </c>
      <c r="Y33" s="128">
        <f t="shared" si="15"/>
        <v>222910</v>
      </c>
      <c r="Z33" s="128">
        <f t="shared" si="15"/>
        <v>249170</v>
      </c>
      <c r="AA33" s="128">
        <f t="shared" si="15"/>
        <v>280149</v>
      </c>
      <c r="AB33" s="128">
        <f t="shared" si="15"/>
        <v>316893</v>
      </c>
      <c r="AC33" s="96">
        <f t="shared" si="15"/>
        <v>352990</v>
      </c>
      <c r="AD33" s="96">
        <f t="shared" si="15"/>
        <v>384480</v>
      </c>
      <c r="AE33" s="95">
        <f t="shared" si="15"/>
        <v>410495</v>
      </c>
      <c r="AF33" s="95">
        <f t="shared" si="15"/>
        <v>423375</v>
      </c>
      <c r="AG33" s="95">
        <f t="shared" si="15"/>
        <v>428556</v>
      </c>
      <c r="AH33" s="139">
        <f t="shared" si="15"/>
        <v>441906</v>
      </c>
      <c r="AI33" s="139">
        <f t="shared" si="15"/>
        <v>450786</v>
      </c>
      <c r="AJ33" s="154">
        <f t="shared" si="15"/>
        <v>450786</v>
      </c>
    </row>
    <row r="34" ht="18" customHeight="1" spans="2:36">
      <c r="B34" s="109"/>
      <c r="C34" s="102" t="s">
        <v>194</v>
      </c>
      <c r="D34" s="103"/>
      <c r="E34" s="103"/>
      <c r="F34" s="104" t="str">
        <f>IF(F31&gt;0,F31/F30,"")</f>
        <v/>
      </c>
      <c r="G34" s="104">
        <f t="shared" ref="G34:AB34" si="16">+G31/G30</f>
        <v>1.00600600600601</v>
      </c>
      <c r="H34" s="105">
        <f t="shared" si="16"/>
        <v>0.963572267920094</v>
      </c>
      <c r="I34" s="105">
        <f t="shared" si="16"/>
        <v>0.962837837837838</v>
      </c>
      <c r="J34" s="104">
        <f t="shared" si="16"/>
        <v>1.04582843713279</v>
      </c>
      <c r="K34" s="104">
        <f t="shared" si="16"/>
        <v>1.16638377507943</v>
      </c>
      <c r="L34" s="104">
        <f t="shared" si="16"/>
        <v>1.21871871871872</v>
      </c>
      <c r="M34" s="104">
        <f t="shared" si="16"/>
        <v>1.0787102892366</v>
      </c>
      <c r="N34" s="104">
        <v>1.03040540540541</v>
      </c>
      <c r="O34" s="116" t="e">
        <f t="shared" si="16"/>
        <v>#DIV/0!</v>
      </c>
      <c r="P34" s="116" t="e">
        <f t="shared" si="16"/>
        <v>#DIV/0!</v>
      </c>
      <c r="Q34" s="116">
        <f t="shared" si="16"/>
        <v>0.711462450592885</v>
      </c>
      <c r="R34" s="104">
        <f t="shared" si="16"/>
        <v>1.04347826086957</v>
      </c>
      <c r="S34" s="104">
        <f t="shared" si="16"/>
        <v>1.04582843713279</v>
      </c>
      <c r="T34" s="104">
        <f t="shared" si="16"/>
        <v>1.31163421486002</v>
      </c>
      <c r="U34" s="104">
        <f t="shared" si="16"/>
        <v>1.21485121485121</v>
      </c>
      <c r="V34" s="105">
        <f t="shared" si="16"/>
        <v>1.18833118833119</v>
      </c>
      <c r="W34" s="105">
        <f t="shared" si="16"/>
        <v>1.12808460634548</v>
      </c>
      <c r="X34" s="104">
        <f t="shared" si="16"/>
        <v>0.860798686885643</v>
      </c>
      <c r="Y34" s="104">
        <f t="shared" si="16"/>
        <v>0.696348522435479</v>
      </c>
      <c r="Z34" s="104">
        <f t="shared" si="16"/>
        <v>0.761921341631487</v>
      </c>
      <c r="AA34" s="104">
        <f t="shared" si="16"/>
        <v>0.851533455652449</v>
      </c>
      <c r="AB34" s="104">
        <f t="shared" si="16"/>
        <v>0.959498629063846</v>
      </c>
      <c r="AC34" s="105">
        <f t="shared" ref="AC34:AF34" si="17">IF(AC31&gt;0,AC31/AC30,"")</f>
        <v>0.942603473038256</v>
      </c>
      <c r="AD34" s="105">
        <f t="shared" si="17"/>
        <v>0.822300561430996</v>
      </c>
      <c r="AE34" s="104">
        <f t="shared" si="17"/>
        <v>0.679331505418462</v>
      </c>
      <c r="AF34" s="104">
        <f t="shared" si="17"/>
        <v>1.00900900900901</v>
      </c>
      <c r="AG34" s="104"/>
      <c r="AH34" s="104"/>
      <c r="AI34" s="155"/>
      <c r="AJ34" s="156"/>
    </row>
    <row r="35" ht="18" customHeight="1" outlineLevel="1" spans="2:36">
      <c r="B35" s="106" t="s">
        <v>197</v>
      </c>
      <c r="C35" s="86" t="s">
        <v>185</v>
      </c>
      <c r="D35" s="87"/>
      <c r="E35" s="87"/>
      <c r="F35" s="88"/>
      <c r="G35" s="88"/>
      <c r="H35" s="89"/>
      <c r="I35" s="89"/>
      <c r="J35" s="88"/>
      <c r="K35" s="88"/>
      <c r="L35" s="88"/>
      <c r="M35" s="88"/>
      <c r="N35" s="88"/>
      <c r="O35" s="113"/>
      <c r="P35" s="113"/>
      <c r="Q35" s="113"/>
      <c r="R35" s="88"/>
      <c r="S35" s="88"/>
      <c r="T35" s="88"/>
      <c r="U35" s="88"/>
      <c r="V35" s="89"/>
      <c r="W35" s="122"/>
      <c r="X35" s="117"/>
      <c r="Y35" s="88"/>
      <c r="Z35" s="127"/>
      <c r="AA35" s="127"/>
      <c r="AB35" s="127"/>
      <c r="AC35" s="89"/>
      <c r="AD35" s="89"/>
      <c r="AE35" s="88"/>
      <c r="AF35" s="137"/>
      <c r="AG35" s="88"/>
      <c r="AH35" s="157"/>
      <c r="AI35" s="157"/>
      <c r="AJ35" s="158"/>
    </row>
    <row r="36" ht="18" customHeight="1" outlineLevel="1" spans="2:36">
      <c r="B36" s="107"/>
      <c r="C36" s="91" t="s">
        <v>186</v>
      </c>
      <c r="D36" s="92"/>
      <c r="E36" s="92"/>
      <c r="F36" s="93">
        <v>38</v>
      </c>
      <c r="G36" s="93">
        <v>38</v>
      </c>
      <c r="H36" s="94">
        <v>38</v>
      </c>
      <c r="I36" s="94">
        <v>38</v>
      </c>
      <c r="J36" s="93">
        <v>38</v>
      </c>
      <c r="K36" s="93">
        <v>38</v>
      </c>
      <c r="L36" s="93">
        <v>38</v>
      </c>
      <c r="M36" s="93">
        <v>38</v>
      </c>
      <c r="N36" s="93">
        <v>38</v>
      </c>
      <c r="O36" s="114">
        <v>38</v>
      </c>
      <c r="P36" s="114">
        <v>38</v>
      </c>
      <c r="Q36" s="114">
        <v>38</v>
      </c>
      <c r="R36" s="93">
        <v>38</v>
      </c>
      <c r="S36" s="93">
        <v>38</v>
      </c>
      <c r="T36" s="93">
        <v>38</v>
      </c>
      <c r="U36" s="93">
        <v>38</v>
      </c>
      <c r="V36" s="94">
        <v>38</v>
      </c>
      <c r="W36" s="96">
        <v>46</v>
      </c>
      <c r="X36" s="95">
        <v>46</v>
      </c>
      <c r="Y36" s="128">
        <v>46</v>
      </c>
      <c r="Z36" s="128">
        <v>46</v>
      </c>
      <c r="AA36" s="128">
        <v>46</v>
      </c>
      <c r="AB36" s="128">
        <v>46</v>
      </c>
      <c r="AC36" s="94">
        <v>46</v>
      </c>
      <c r="AD36" s="94">
        <v>38</v>
      </c>
      <c r="AE36" s="93">
        <v>46</v>
      </c>
      <c r="AF36" s="138">
        <v>46</v>
      </c>
      <c r="AG36" s="93">
        <v>46</v>
      </c>
      <c r="AH36" s="139">
        <v>46</v>
      </c>
      <c r="AI36" s="139">
        <v>46</v>
      </c>
      <c r="AJ36" s="154">
        <v>38</v>
      </c>
    </row>
    <row r="37" ht="18" customHeight="1" outlineLevel="1" spans="2:36">
      <c r="B37" s="107"/>
      <c r="C37" s="91" t="s">
        <v>187</v>
      </c>
      <c r="D37" s="92"/>
      <c r="E37" s="92"/>
      <c r="F37" s="93">
        <f t="shared" ref="F37:AJ37" si="18">F35*F36</f>
        <v>0</v>
      </c>
      <c r="G37" s="93">
        <f t="shared" si="18"/>
        <v>0</v>
      </c>
      <c r="H37" s="94">
        <f t="shared" si="18"/>
        <v>0</v>
      </c>
      <c r="I37" s="94">
        <f t="shared" si="18"/>
        <v>0</v>
      </c>
      <c r="J37" s="93">
        <f t="shared" si="18"/>
        <v>0</v>
      </c>
      <c r="K37" s="93">
        <f t="shared" si="18"/>
        <v>0</v>
      </c>
      <c r="L37" s="93">
        <f t="shared" si="18"/>
        <v>0</v>
      </c>
      <c r="M37" s="93">
        <f t="shared" si="18"/>
        <v>0</v>
      </c>
      <c r="N37" s="93">
        <v>0</v>
      </c>
      <c r="O37" s="114">
        <f t="shared" si="18"/>
        <v>0</v>
      </c>
      <c r="P37" s="114">
        <f t="shared" si="18"/>
        <v>0</v>
      </c>
      <c r="Q37" s="114">
        <f t="shared" si="18"/>
        <v>0</v>
      </c>
      <c r="R37" s="93">
        <f t="shared" si="18"/>
        <v>0</v>
      </c>
      <c r="S37" s="93">
        <f t="shared" si="18"/>
        <v>0</v>
      </c>
      <c r="T37" s="93">
        <f t="shared" si="18"/>
        <v>0</v>
      </c>
      <c r="U37" s="93">
        <f t="shared" si="18"/>
        <v>0</v>
      </c>
      <c r="V37" s="94">
        <f t="shared" si="18"/>
        <v>0</v>
      </c>
      <c r="W37" s="96">
        <f t="shared" si="18"/>
        <v>0</v>
      </c>
      <c r="X37" s="95">
        <f t="shared" si="18"/>
        <v>0</v>
      </c>
      <c r="Y37" s="93">
        <f t="shared" si="18"/>
        <v>0</v>
      </c>
      <c r="Z37" s="93">
        <f t="shared" si="18"/>
        <v>0</v>
      </c>
      <c r="AA37" s="93">
        <f t="shared" si="18"/>
        <v>0</v>
      </c>
      <c r="AB37" s="93">
        <f t="shared" si="18"/>
        <v>0</v>
      </c>
      <c r="AC37" s="94">
        <f t="shared" si="18"/>
        <v>0</v>
      </c>
      <c r="AD37" s="94">
        <f t="shared" si="18"/>
        <v>0</v>
      </c>
      <c r="AE37" s="93">
        <f t="shared" si="18"/>
        <v>0</v>
      </c>
      <c r="AF37" s="138">
        <f t="shared" si="18"/>
        <v>0</v>
      </c>
      <c r="AG37" s="93">
        <f t="shared" si="18"/>
        <v>0</v>
      </c>
      <c r="AH37" s="139">
        <f t="shared" si="18"/>
        <v>0</v>
      </c>
      <c r="AI37" s="139">
        <f t="shared" si="18"/>
        <v>0</v>
      </c>
      <c r="AJ37" s="154">
        <f t="shared" si="18"/>
        <v>0</v>
      </c>
    </row>
    <row r="38" ht="18" customHeight="1" outlineLevel="1" spans="2:36">
      <c r="B38" s="107"/>
      <c r="C38" s="91" t="s">
        <v>188</v>
      </c>
      <c r="D38" s="92"/>
      <c r="E38" s="92"/>
      <c r="F38" s="93"/>
      <c r="G38" s="93"/>
      <c r="H38" s="94"/>
      <c r="I38" s="94"/>
      <c r="J38" s="93"/>
      <c r="K38" s="93"/>
      <c r="L38" s="93"/>
      <c r="M38" s="93"/>
      <c r="N38" s="93"/>
      <c r="O38" s="114"/>
      <c r="P38" s="114"/>
      <c r="Q38" s="114"/>
      <c r="R38" s="93"/>
      <c r="S38" s="93"/>
      <c r="T38" s="93"/>
      <c r="U38" s="93"/>
      <c r="V38" s="94">
        <v>8</v>
      </c>
      <c r="W38" s="96">
        <v>8</v>
      </c>
      <c r="X38" s="93">
        <v>11.5</v>
      </c>
      <c r="Y38" s="93">
        <v>11.5</v>
      </c>
      <c r="Z38" s="93">
        <v>11.5</v>
      </c>
      <c r="AA38" s="93">
        <v>11.5</v>
      </c>
      <c r="AB38" s="93">
        <v>11.5</v>
      </c>
      <c r="AC38" s="94">
        <v>11.5</v>
      </c>
      <c r="AD38" s="94">
        <v>11.5</v>
      </c>
      <c r="AE38" s="93">
        <v>6</v>
      </c>
      <c r="AF38" s="93">
        <v>11.5</v>
      </c>
      <c r="AG38" s="93">
        <v>11.5</v>
      </c>
      <c r="AH38" s="139">
        <v>11.5</v>
      </c>
      <c r="AI38" s="139">
        <v>11.5</v>
      </c>
      <c r="AJ38" s="154"/>
    </row>
    <row r="39" ht="18" customHeight="1" outlineLevel="1" spans="2:36">
      <c r="B39" s="107"/>
      <c r="C39" s="91" t="s">
        <v>189</v>
      </c>
      <c r="D39" s="92"/>
      <c r="E39" s="92"/>
      <c r="F39" s="93">
        <v>1110</v>
      </c>
      <c r="G39" s="93">
        <v>1110</v>
      </c>
      <c r="H39" s="94">
        <v>1110</v>
      </c>
      <c r="I39" s="94">
        <v>1110</v>
      </c>
      <c r="J39" s="93">
        <v>1110</v>
      </c>
      <c r="K39" s="93">
        <v>1110</v>
      </c>
      <c r="L39" s="93">
        <v>1110</v>
      </c>
      <c r="M39" s="93">
        <v>1110</v>
      </c>
      <c r="N39" s="93">
        <v>1110</v>
      </c>
      <c r="O39" s="114">
        <v>1110</v>
      </c>
      <c r="P39" s="114">
        <v>1110</v>
      </c>
      <c r="Q39" s="114">
        <v>1110</v>
      </c>
      <c r="R39" s="93">
        <v>1110</v>
      </c>
      <c r="S39" s="93">
        <v>1110</v>
      </c>
      <c r="T39" s="93">
        <v>1110</v>
      </c>
      <c r="U39" s="93">
        <v>1110</v>
      </c>
      <c r="V39" s="96">
        <v>1110</v>
      </c>
      <c r="W39" s="96">
        <v>1110</v>
      </c>
      <c r="X39" s="95">
        <v>1110</v>
      </c>
      <c r="Y39" s="128">
        <v>1110</v>
      </c>
      <c r="Z39" s="128">
        <v>1110</v>
      </c>
      <c r="AA39" s="128">
        <v>1110</v>
      </c>
      <c r="AB39" s="128">
        <v>1110</v>
      </c>
      <c r="AC39" s="94">
        <v>1110</v>
      </c>
      <c r="AD39" s="94">
        <v>1110</v>
      </c>
      <c r="AE39" s="93">
        <v>1110</v>
      </c>
      <c r="AF39" s="138">
        <v>1110</v>
      </c>
      <c r="AG39" s="93">
        <v>1110</v>
      </c>
      <c r="AH39" s="139">
        <v>1110</v>
      </c>
      <c r="AI39" s="139">
        <v>1110</v>
      </c>
      <c r="AJ39" s="154">
        <v>1110</v>
      </c>
    </row>
    <row r="40" ht="18" customHeight="1" outlineLevel="1" spans="2:36">
      <c r="B40" s="107"/>
      <c r="C40" s="91" t="s">
        <v>190</v>
      </c>
      <c r="D40" s="92">
        <v>0</v>
      </c>
      <c r="E40" s="92">
        <f>SUM(F40:AJ40)</f>
        <v>0</v>
      </c>
      <c r="F40" s="95">
        <f t="shared" ref="F40:L40" si="19">F35*F38*F39</f>
        <v>0</v>
      </c>
      <c r="G40" s="95">
        <f t="shared" si="19"/>
        <v>0</v>
      </c>
      <c r="H40" s="96">
        <f t="shared" si="19"/>
        <v>0</v>
      </c>
      <c r="I40" s="96">
        <f t="shared" si="19"/>
        <v>0</v>
      </c>
      <c r="J40" s="95">
        <f t="shared" si="19"/>
        <v>0</v>
      </c>
      <c r="K40" s="95">
        <f t="shared" si="19"/>
        <v>0</v>
      </c>
      <c r="L40" s="95">
        <f t="shared" si="19"/>
        <v>0</v>
      </c>
      <c r="M40" s="95">
        <f>M35*M38*M39*0.85</f>
        <v>0</v>
      </c>
      <c r="N40" s="95">
        <v>0</v>
      </c>
      <c r="O40" s="115">
        <f t="shared" ref="O40:AJ40" si="20">O35*O38*O39</f>
        <v>0</v>
      </c>
      <c r="P40" s="115">
        <f t="shared" si="20"/>
        <v>0</v>
      </c>
      <c r="Q40" s="115">
        <f t="shared" si="20"/>
        <v>0</v>
      </c>
      <c r="R40" s="95">
        <f t="shared" si="20"/>
        <v>0</v>
      </c>
      <c r="S40" s="95">
        <f t="shared" si="20"/>
        <v>0</v>
      </c>
      <c r="T40" s="95">
        <f t="shared" si="20"/>
        <v>0</v>
      </c>
      <c r="U40" s="95">
        <f t="shared" si="20"/>
        <v>0</v>
      </c>
      <c r="V40" s="96">
        <f t="shared" si="20"/>
        <v>0</v>
      </c>
      <c r="W40" s="96">
        <f t="shared" si="20"/>
        <v>0</v>
      </c>
      <c r="X40" s="95">
        <f t="shared" si="20"/>
        <v>0</v>
      </c>
      <c r="Y40" s="128">
        <f t="shared" si="20"/>
        <v>0</v>
      </c>
      <c r="Z40" s="128">
        <f>Z35*Z38*Z39*0.8</f>
        <v>0</v>
      </c>
      <c r="AA40" s="128">
        <f>AA35*AA38*AA39*0.9</f>
        <v>0</v>
      </c>
      <c r="AB40" s="128">
        <f>AB35*AB38*AB39</f>
        <v>0</v>
      </c>
      <c r="AC40" s="123">
        <f t="shared" si="20"/>
        <v>0</v>
      </c>
      <c r="AD40" s="96">
        <f t="shared" si="20"/>
        <v>0</v>
      </c>
      <c r="AE40" s="95">
        <f t="shared" si="20"/>
        <v>0</v>
      </c>
      <c r="AF40" s="139">
        <f t="shared" si="20"/>
        <v>0</v>
      </c>
      <c r="AG40" s="95">
        <f t="shared" si="20"/>
        <v>0</v>
      </c>
      <c r="AH40" s="139">
        <f t="shared" si="20"/>
        <v>0</v>
      </c>
      <c r="AI40" s="139">
        <f t="shared" si="20"/>
        <v>0</v>
      </c>
      <c r="AJ40" s="154">
        <f t="shared" si="20"/>
        <v>0</v>
      </c>
    </row>
    <row r="41" ht="18" customHeight="1" outlineLevel="1" spans="2:36">
      <c r="B41" s="90"/>
      <c r="C41" s="91" t="s">
        <v>191</v>
      </c>
      <c r="D41" s="92"/>
      <c r="E41" s="108">
        <f>SUM(F41:AJ41)</f>
        <v>0</v>
      </c>
      <c r="F41" s="98"/>
      <c r="G41" s="99"/>
      <c r="H41" s="100"/>
      <c r="I41" s="100"/>
      <c r="J41" s="99"/>
      <c r="K41" s="99"/>
      <c r="L41" s="95"/>
      <c r="M41" s="95"/>
      <c r="N41" s="95"/>
      <c r="O41" s="115"/>
      <c r="P41" s="115"/>
      <c r="Q41" s="115"/>
      <c r="R41" s="95"/>
      <c r="S41" s="95"/>
      <c r="T41" s="95"/>
      <c r="U41" s="95"/>
      <c r="V41" s="96"/>
      <c r="W41" s="96"/>
      <c r="X41" s="95"/>
      <c r="Y41" s="128"/>
      <c r="Z41" s="95"/>
      <c r="AA41" s="95"/>
      <c r="AB41" s="95"/>
      <c r="AC41" s="96"/>
      <c r="AD41" s="96"/>
      <c r="AE41" s="95"/>
      <c r="AF41" s="139"/>
      <c r="AG41" s="159"/>
      <c r="AH41" s="139"/>
      <c r="AI41" s="139"/>
      <c r="AJ41" s="154"/>
    </row>
    <row r="42" ht="18" customHeight="1" outlineLevel="1" spans="2:36">
      <c r="B42" s="107"/>
      <c r="C42" s="91" t="s">
        <v>192</v>
      </c>
      <c r="D42" s="92"/>
      <c r="E42" s="92"/>
      <c r="F42" s="95">
        <f t="shared" ref="F42:AJ42" si="21">F41-F40</f>
        <v>0</v>
      </c>
      <c r="G42" s="95">
        <f t="shared" si="21"/>
        <v>0</v>
      </c>
      <c r="H42" s="96">
        <f t="shared" si="21"/>
        <v>0</v>
      </c>
      <c r="I42" s="96">
        <f t="shared" si="21"/>
        <v>0</v>
      </c>
      <c r="J42" s="95">
        <f t="shared" si="21"/>
        <v>0</v>
      </c>
      <c r="K42" s="95">
        <f t="shared" si="21"/>
        <v>0</v>
      </c>
      <c r="L42" s="95">
        <f t="shared" si="21"/>
        <v>0</v>
      </c>
      <c r="M42" s="95">
        <f t="shared" si="21"/>
        <v>0</v>
      </c>
      <c r="N42" s="95">
        <v>0</v>
      </c>
      <c r="O42" s="115">
        <f t="shared" si="21"/>
        <v>0</v>
      </c>
      <c r="P42" s="115">
        <f t="shared" si="21"/>
        <v>0</v>
      </c>
      <c r="Q42" s="115">
        <f t="shared" si="21"/>
        <v>0</v>
      </c>
      <c r="R42" s="95">
        <f t="shared" si="21"/>
        <v>0</v>
      </c>
      <c r="S42" s="95">
        <f t="shared" si="21"/>
        <v>0</v>
      </c>
      <c r="T42" s="95">
        <f t="shared" si="21"/>
        <v>0</v>
      </c>
      <c r="U42" s="95">
        <f t="shared" si="21"/>
        <v>0</v>
      </c>
      <c r="V42" s="96">
        <f t="shared" si="21"/>
        <v>0</v>
      </c>
      <c r="W42" s="123">
        <f t="shared" si="21"/>
        <v>0</v>
      </c>
      <c r="X42" s="95">
        <f t="shared" si="21"/>
        <v>0</v>
      </c>
      <c r="Y42" s="128">
        <f t="shared" si="21"/>
        <v>0</v>
      </c>
      <c r="Z42" s="128">
        <f t="shared" si="21"/>
        <v>0</v>
      </c>
      <c r="AA42" s="128">
        <f t="shared" si="21"/>
        <v>0</v>
      </c>
      <c r="AB42" s="128">
        <f t="shared" si="21"/>
        <v>0</v>
      </c>
      <c r="AC42" s="96">
        <f t="shared" si="21"/>
        <v>0</v>
      </c>
      <c r="AD42" s="96">
        <f t="shared" si="21"/>
        <v>0</v>
      </c>
      <c r="AE42" s="95">
        <f t="shared" si="21"/>
        <v>0</v>
      </c>
      <c r="AF42" s="139">
        <f t="shared" si="21"/>
        <v>0</v>
      </c>
      <c r="AG42" s="95">
        <f t="shared" si="21"/>
        <v>0</v>
      </c>
      <c r="AH42" s="139">
        <f t="shared" si="21"/>
        <v>0</v>
      </c>
      <c r="AI42" s="139">
        <f t="shared" si="21"/>
        <v>0</v>
      </c>
      <c r="AJ42" s="154">
        <f t="shared" si="21"/>
        <v>0</v>
      </c>
    </row>
    <row r="43" s="52" customFormat="1" ht="18" customHeight="1" outlineLevel="1" spans="1:36">
      <c r="A43" s="54"/>
      <c r="B43" s="107"/>
      <c r="C43" s="91" t="s">
        <v>193</v>
      </c>
      <c r="D43" s="92"/>
      <c r="E43" s="92"/>
      <c r="F43" s="95">
        <f t="shared" ref="F43:AJ43" si="22">E43+F41</f>
        <v>0</v>
      </c>
      <c r="G43" s="95">
        <f t="shared" si="22"/>
        <v>0</v>
      </c>
      <c r="H43" s="96">
        <f t="shared" si="22"/>
        <v>0</v>
      </c>
      <c r="I43" s="96">
        <f t="shared" si="22"/>
        <v>0</v>
      </c>
      <c r="J43" s="95">
        <f t="shared" si="22"/>
        <v>0</v>
      </c>
      <c r="K43" s="95">
        <f t="shared" si="22"/>
        <v>0</v>
      </c>
      <c r="L43" s="95">
        <f t="shared" si="22"/>
        <v>0</v>
      </c>
      <c r="M43" s="95">
        <f t="shared" si="22"/>
        <v>0</v>
      </c>
      <c r="N43" s="95">
        <v>0</v>
      </c>
      <c r="O43" s="115">
        <f t="shared" si="22"/>
        <v>0</v>
      </c>
      <c r="P43" s="115">
        <f t="shared" si="22"/>
        <v>0</v>
      </c>
      <c r="Q43" s="115">
        <f t="shared" si="22"/>
        <v>0</v>
      </c>
      <c r="R43" s="95">
        <f t="shared" si="22"/>
        <v>0</v>
      </c>
      <c r="S43" s="95">
        <f t="shared" si="22"/>
        <v>0</v>
      </c>
      <c r="T43" s="95">
        <f t="shared" si="22"/>
        <v>0</v>
      </c>
      <c r="U43" s="95">
        <f t="shared" si="22"/>
        <v>0</v>
      </c>
      <c r="V43" s="96">
        <f t="shared" si="22"/>
        <v>0</v>
      </c>
      <c r="W43" s="123">
        <f t="shared" si="22"/>
        <v>0</v>
      </c>
      <c r="X43" s="95">
        <f t="shared" si="22"/>
        <v>0</v>
      </c>
      <c r="Y43" s="128">
        <f t="shared" si="22"/>
        <v>0</v>
      </c>
      <c r="Z43" s="128">
        <f t="shared" si="22"/>
        <v>0</v>
      </c>
      <c r="AA43" s="128">
        <f t="shared" si="22"/>
        <v>0</v>
      </c>
      <c r="AB43" s="128">
        <f t="shared" si="22"/>
        <v>0</v>
      </c>
      <c r="AC43" s="96">
        <f t="shared" si="22"/>
        <v>0</v>
      </c>
      <c r="AD43" s="96">
        <f t="shared" si="22"/>
        <v>0</v>
      </c>
      <c r="AE43" s="95">
        <f t="shared" si="22"/>
        <v>0</v>
      </c>
      <c r="AF43" s="95">
        <f t="shared" si="22"/>
        <v>0</v>
      </c>
      <c r="AG43" s="95">
        <f t="shared" si="22"/>
        <v>0</v>
      </c>
      <c r="AH43" s="139">
        <f t="shared" si="22"/>
        <v>0</v>
      </c>
      <c r="AI43" s="139">
        <f t="shared" si="22"/>
        <v>0</v>
      </c>
      <c r="AJ43" s="154">
        <f t="shared" si="22"/>
        <v>0</v>
      </c>
    </row>
    <row r="44" ht="18" customHeight="1" spans="2:36">
      <c r="B44" s="109"/>
      <c r="C44" s="102" t="s">
        <v>194</v>
      </c>
      <c r="D44" s="103"/>
      <c r="E44" s="103"/>
      <c r="F44" s="104" t="str">
        <f>IF(F41&gt;0,F41/F40,"")</f>
        <v/>
      </c>
      <c r="G44" s="104"/>
      <c r="H44" s="105"/>
      <c r="I44" s="105"/>
      <c r="J44" s="104"/>
      <c r="K44" s="104"/>
      <c r="L44" s="104" t="str">
        <f t="shared" ref="L44:AJ44" si="23">IF(L41&gt;0,L41/L40,"")</f>
        <v/>
      </c>
      <c r="M44" s="104" t="str">
        <f t="shared" si="23"/>
        <v/>
      </c>
      <c r="N44" s="104" t="s">
        <v>195</v>
      </c>
      <c r="O44" s="116" t="str">
        <f t="shared" si="23"/>
        <v/>
      </c>
      <c r="P44" s="116" t="str">
        <f t="shared" si="23"/>
        <v/>
      </c>
      <c r="Q44" s="116" t="str">
        <f t="shared" si="23"/>
        <v/>
      </c>
      <c r="R44" s="104" t="str">
        <f t="shared" si="23"/>
        <v/>
      </c>
      <c r="S44" s="104" t="str">
        <f t="shared" si="23"/>
        <v/>
      </c>
      <c r="T44" s="104" t="str">
        <f t="shared" si="23"/>
        <v/>
      </c>
      <c r="U44" s="104" t="str">
        <f t="shared" si="23"/>
        <v/>
      </c>
      <c r="V44" s="105" t="str">
        <f t="shared" si="23"/>
        <v/>
      </c>
      <c r="W44" s="105" t="str">
        <f t="shared" si="23"/>
        <v/>
      </c>
      <c r="X44" s="124" t="str">
        <f t="shared" si="23"/>
        <v/>
      </c>
      <c r="Y44" s="104" t="str">
        <f t="shared" si="23"/>
        <v/>
      </c>
      <c r="Z44" s="142" t="str">
        <f t="shared" si="23"/>
        <v/>
      </c>
      <c r="AA44" s="104" t="str">
        <f t="shared" si="23"/>
        <v/>
      </c>
      <c r="AB44" s="104" t="str">
        <f t="shared" si="23"/>
        <v/>
      </c>
      <c r="AC44" s="105" t="str">
        <f t="shared" si="23"/>
        <v/>
      </c>
      <c r="AD44" s="105" t="str">
        <f t="shared" si="23"/>
        <v/>
      </c>
      <c r="AE44" s="104" t="str">
        <f t="shared" si="23"/>
        <v/>
      </c>
      <c r="AF44" s="141" t="str">
        <f t="shared" si="23"/>
        <v/>
      </c>
      <c r="AG44" s="104" t="str">
        <f t="shared" si="23"/>
        <v/>
      </c>
      <c r="AH44" s="155" t="str">
        <f t="shared" si="23"/>
        <v/>
      </c>
      <c r="AI44" s="155" t="str">
        <f t="shared" si="23"/>
        <v/>
      </c>
      <c r="AJ44" s="156" t="str">
        <f t="shared" si="23"/>
        <v/>
      </c>
    </row>
    <row r="45" ht="18" customHeight="1" outlineLevel="1" spans="2:36">
      <c r="B45" s="85" t="s">
        <v>198</v>
      </c>
      <c r="C45" s="86" t="s">
        <v>185</v>
      </c>
      <c r="D45" s="87"/>
      <c r="E45" s="87"/>
      <c r="F45" s="88"/>
      <c r="G45" s="88"/>
      <c r="H45" s="89"/>
      <c r="I45" s="89"/>
      <c r="J45" s="88"/>
      <c r="K45" s="88"/>
      <c r="L45" s="117"/>
      <c r="M45" s="88">
        <v>1</v>
      </c>
      <c r="N45" s="88">
        <v>1</v>
      </c>
      <c r="O45" s="113"/>
      <c r="P45" s="113"/>
      <c r="Q45" s="113"/>
      <c r="R45" s="88"/>
      <c r="S45" s="88"/>
      <c r="T45" s="88"/>
      <c r="U45" s="88"/>
      <c r="V45" s="89"/>
      <c r="W45" s="126"/>
      <c r="X45" s="127"/>
      <c r="Y45" s="127"/>
      <c r="Z45" s="127"/>
      <c r="AA45" s="127"/>
      <c r="AB45" s="127"/>
      <c r="AC45" s="143"/>
      <c r="AD45" s="143"/>
      <c r="AE45" s="144"/>
      <c r="AF45" s="145"/>
      <c r="AG45" s="144"/>
      <c r="AH45" s="145"/>
      <c r="AI45" s="145"/>
      <c r="AJ45" s="158"/>
    </row>
    <row r="46" ht="18" customHeight="1" outlineLevel="1" spans="2:36">
      <c r="B46" s="90"/>
      <c r="C46" s="91" t="s">
        <v>186</v>
      </c>
      <c r="D46" s="92"/>
      <c r="E46" s="92"/>
      <c r="F46" s="93">
        <v>36</v>
      </c>
      <c r="G46" s="93">
        <v>36</v>
      </c>
      <c r="H46" s="94">
        <v>36</v>
      </c>
      <c r="I46" s="94">
        <v>36</v>
      </c>
      <c r="J46" s="93">
        <v>36</v>
      </c>
      <c r="K46" s="93">
        <v>36</v>
      </c>
      <c r="L46" s="93">
        <v>36</v>
      </c>
      <c r="M46" s="93">
        <v>36</v>
      </c>
      <c r="N46" s="93">
        <v>36</v>
      </c>
      <c r="O46" s="114">
        <v>36</v>
      </c>
      <c r="P46" s="114">
        <v>36</v>
      </c>
      <c r="Q46" s="114">
        <v>36</v>
      </c>
      <c r="R46" s="93">
        <v>36</v>
      </c>
      <c r="S46" s="93">
        <v>36</v>
      </c>
      <c r="T46" s="93">
        <v>36</v>
      </c>
      <c r="U46" s="93">
        <v>36</v>
      </c>
      <c r="V46" s="94">
        <v>36</v>
      </c>
      <c r="W46" s="123">
        <v>36</v>
      </c>
      <c r="X46" s="128">
        <v>36</v>
      </c>
      <c r="Y46" s="128">
        <v>36</v>
      </c>
      <c r="Z46" s="128">
        <v>36</v>
      </c>
      <c r="AA46" s="128">
        <v>36</v>
      </c>
      <c r="AB46" s="128">
        <v>36</v>
      </c>
      <c r="AC46" s="94">
        <v>36</v>
      </c>
      <c r="AD46" s="94">
        <v>38</v>
      </c>
      <c r="AE46" s="93">
        <v>36</v>
      </c>
      <c r="AF46" s="138">
        <v>36</v>
      </c>
      <c r="AG46" s="93">
        <v>36</v>
      </c>
      <c r="AH46" s="139">
        <v>36</v>
      </c>
      <c r="AI46" s="139">
        <v>36</v>
      </c>
      <c r="AJ46" s="154">
        <v>36</v>
      </c>
    </row>
    <row r="47" ht="18" customHeight="1" outlineLevel="1" spans="2:36">
      <c r="B47" s="90"/>
      <c r="C47" s="91" t="s">
        <v>187</v>
      </c>
      <c r="D47" s="92"/>
      <c r="E47" s="92"/>
      <c r="F47" s="93">
        <f t="shared" ref="F47:AJ47" si="24">F45*F46</f>
        <v>0</v>
      </c>
      <c r="G47" s="93">
        <f t="shared" si="24"/>
        <v>0</v>
      </c>
      <c r="H47" s="94">
        <f t="shared" si="24"/>
        <v>0</v>
      </c>
      <c r="I47" s="94">
        <f t="shared" si="24"/>
        <v>0</v>
      </c>
      <c r="J47" s="93">
        <f t="shared" si="24"/>
        <v>0</v>
      </c>
      <c r="K47" s="93">
        <f t="shared" si="24"/>
        <v>0</v>
      </c>
      <c r="L47" s="95">
        <f t="shared" si="24"/>
        <v>0</v>
      </c>
      <c r="M47" s="93">
        <f t="shared" si="24"/>
        <v>36</v>
      </c>
      <c r="N47" s="93">
        <v>36</v>
      </c>
      <c r="O47" s="114">
        <f t="shared" si="24"/>
        <v>0</v>
      </c>
      <c r="P47" s="114">
        <f t="shared" si="24"/>
        <v>0</v>
      </c>
      <c r="Q47" s="114">
        <f t="shared" si="24"/>
        <v>0</v>
      </c>
      <c r="R47" s="93">
        <f t="shared" si="24"/>
        <v>0</v>
      </c>
      <c r="S47" s="93">
        <f t="shared" si="24"/>
        <v>0</v>
      </c>
      <c r="T47" s="93">
        <f t="shared" si="24"/>
        <v>0</v>
      </c>
      <c r="U47" s="93">
        <f t="shared" si="24"/>
        <v>0</v>
      </c>
      <c r="V47" s="94">
        <f t="shared" si="24"/>
        <v>0</v>
      </c>
      <c r="W47" s="94">
        <f t="shared" si="24"/>
        <v>0</v>
      </c>
      <c r="X47" s="93">
        <f t="shared" si="24"/>
        <v>0</v>
      </c>
      <c r="Y47" s="93">
        <f t="shared" si="24"/>
        <v>0</v>
      </c>
      <c r="Z47" s="93">
        <f t="shared" si="24"/>
        <v>0</v>
      </c>
      <c r="AA47" s="93">
        <f t="shared" si="24"/>
        <v>0</v>
      </c>
      <c r="AB47" s="93">
        <f t="shared" si="24"/>
        <v>0</v>
      </c>
      <c r="AC47" s="94">
        <f t="shared" si="24"/>
        <v>0</v>
      </c>
      <c r="AD47" s="94">
        <f t="shared" si="24"/>
        <v>0</v>
      </c>
      <c r="AE47" s="93">
        <f t="shared" si="24"/>
        <v>0</v>
      </c>
      <c r="AF47" s="138">
        <f t="shared" si="24"/>
        <v>0</v>
      </c>
      <c r="AG47" s="93">
        <f t="shared" si="24"/>
        <v>0</v>
      </c>
      <c r="AH47" s="139">
        <f t="shared" si="24"/>
        <v>0</v>
      </c>
      <c r="AI47" s="139">
        <f t="shared" si="24"/>
        <v>0</v>
      </c>
      <c r="AJ47" s="154">
        <f t="shared" si="24"/>
        <v>0</v>
      </c>
    </row>
    <row r="48" ht="18" customHeight="1" outlineLevel="1" spans="2:36">
      <c r="B48" s="90"/>
      <c r="C48" s="91" t="s">
        <v>188</v>
      </c>
      <c r="D48" s="92"/>
      <c r="E48" s="92"/>
      <c r="F48" s="93"/>
      <c r="G48" s="93"/>
      <c r="H48" s="94"/>
      <c r="I48" s="94"/>
      <c r="J48" s="93">
        <v>11.5</v>
      </c>
      <c r="K48" s="93">
        <v>2</v>
      </c>
      <c r="L48" s="95">
        <v>11.5</v>
      </c>
      <c r="M48" s="93">
        <v>8</v>
      </c>
      <c r="N48" s="93">
        <v>8</v>
      </c>
      <c r="O48" s="114"/>
      <c r="P48" s="114">
        <v>11.5</v>
      </c>
      <c r="Q48" s="114">
        <v>11.5</v>
      </c>
      <c r="R48" s="93">
        <v>11.5</v>
      </c>
      <c r="S48" s="93">
        <v>11.5</v>
      </c>
      <c r="T48" s="93">
        <v>8</v>
      </c>
      <c r="U48" s="93">
        <v>11.5</v>
      </c>
      <c r="V48" s="94">
        <v>11.5</v>
      </c>
      <c r="W48" s="96">
        <v>8</v>
      </c>
      <c r="X48" s="93">
        <v>11.5</v>
      </c>
      <c r="Y48" s="93">
        <v>11.5</v>
      </c>
      <c r="Z48" s="93">
        <v>11.5</v>
      </c>
      <c r="AA48" s="93">
        <v>4</v>
      </c>
      <c r="AB48" s="93"/>
      <c r="AC48" s="94">
        <v>11.5</v>
      </c>
      <c r="AD48" s="94">
        <v>11.5</v>
      </c>
      <c r="AE48" s="93">
        <v>11.5</v>
      </c>
      <c r="AF48" s="93">
        <v>11.5</v>
      </c>
      <c r="AG48" s="93">
        <v>11.5</v>
      </c>
      <c r="AH48" s="139">
        <v>11.5</v>
      </c>
      <c r="AI48" s="139">
        <v>11.5</v>
      </c>
      <c r="AJ48" s="154"/>
    </row>
    <row r="49" ht="18" customHeight="1" outlineLevel="1" spans="2:36">
      <c r="B49" s="90"/>
      <c r="C49" s="91" t="s">
        <v>189</v>
      </c>
      <c r="D49" s="92"/>
      <c r="E49" s="92"/>
      <c r="F49" s="93">
        <v>700</v>
      </c>
      <c r="G49" s="93">
        <v>700</v>
      </c>
      <c r="H49" s="94">
        <v>720</v>
      </c>
      <c r="I49" s="94">
        <v>720</v>
      </c>
      <c r="J49" s="93">
        <v>720</v>
      </c>
      <c r="K49" s="93">
        <v>720</v>
      </c>
      <c r="L49" s="95">
        <v>720</v>
      </c>
      <c r="M49" s="93">
        <v>720</v>
      </c>
      <c r="N49" s="93">
        <v>720</v>
      </c>
      <c r="O49" s="114">
        <v>720</v>
      </c>
      <c r="P49" s="114">
        <v>720</v>
      </c>
      <c r="Q49" s="114">
        <v>720</v>
      </c>
      <c r="R49" s="93">
        <v>720</v>
      </c>
      <c r="S49" s="93">
        <v>720</v>
      </c>
      <c r="T49" s="93">
        <v>720</v>
      </c>
      <c r="U49" s="93">
        <v>720</v>
      </c>
      <c r="V49" s="94">
        <v>720</v>
      </c>
      <c r="W49" s="96">
        <v>700</v>
      </c>
      <c r="X49" s="93">
        <v>700</v>
      </c>
      <c r="Y49" s="93">
        <v>700</v>
      </c>
      <c r="Z49" s="93">
        <v>700</v>
      </c>
      <c r="AA49" s="93">
        <v>700</v>
      </c>
      <c r="AB49" s="93">
        <v>700</v>
      </c>
      <c r="AC49" s="94">
        <v>700</v>
      </c>
      <c r="AD49" s="94">
        <v>700</v>
      </c>
      <c r="AE49" s="93">
        <v>700</v>
      </c>
      <c r="AF49" s="138">
        <v>700</v>
      </c>
      <c r="AG49" s="93">
        <v>700</v>
      </c>
      <c r="AH49" s="139">
        <v>700</v>
      </c>
      <c r="AI49" s="139">
        <v>700</v>
      </c>
      <c r="AJ49" s="154">
        <v>701</v>
      </c>
    </row>
    <row r="50" ht="18" customHeight="1" outlineLevel="1" spans="2:36">
      <c r="B50" s="90"/>
      <c r="C50" s="91" t="s">
        <v>190</v>
      </c>
      <c r="D50" s="92">
        <v>70000</v>
      </c>
      <c r="E50" s="92">
        <f>SUM(F50:AG50)</f>
        <v>8640</v>
      </c>
      <c r="F50" s="95">
        <f t="shared" ref="F50:AH50" si="25">F45*F48*F49</f>
        <v>0</v>
      </c>
      <c r="G50" s="95">
        <f t="shared" si="25"/>
        <v>0</v>
      </c>
      <c r="H50" s="96">
        <f>H45*H48*H49*0.75</f>
        <v>0</v>
      </c>
      <c r="I50" s="96">
        <f>I45*I48*I49*0.8</f>
        <v>0</v>
      </c>
      <c r="J50" s="95">
        <f>J45*J48*J49*0.75</f>
        <v>0</v>
      </c>
      <c r="K50" s="95">
        <f>K45*K48*K49*0.85</f>
        <v>0</v>
      </c>
      <c r="L50" s="95">
        <f>L45*L48*L49*0.7</f>
        <v>0</v>
      </c>
      <c r="M50" s="95">
        <f>M45*M48*M49*0.7</f>
        <v>4032</v>
      </c>
      <c r="N50" s="95">
        <f>N45*N48*N49*0.8</f>
        <v>4608</v>
      </c>
      <c r="O50" s="115">
        <f t="shared" si="25"/>
        <v>0</v>
      </c>
      <c r="P50" s="115">
        <f t="shared" si="25"/>
        <v>0</v>
      </c>
      <c r="Q50" s="115">
        <f>Q45*Q48*Q49*0.75</f>
        <v>0</v>
      </c>
      <c r="R50" s="95">
        <f>R45*R48*R49*0.85</f>
        <v>0</v>
      </c>
      <c r="S50" s="95">
        <f>S45*S48*S49*0.95</f>
        <v>0</v>
      </c>
      <c r="T50" s="95">
        <f t="shared" si="25"/>
        <v>0</v>
      </c>
      <c r="U50" s="95">
        <f t="shared" si="25"/>
        <v>0</v>
      </c>
      <c r="V50" s="96">
        <f t="shared" si="25"/>
        <v>0</v>
      </c>
      <c r="W50" s="123">
        <f t="shared" si="25"/>
        <v>0</v>
      </c>
      <c r="X50" s="128">
        <f t="shared" si="25"/>
        <v>0</v>
      </c>
      <c r="Y50" s="128">
        <f t="shared" si="25"/>
        <v>0</v>
      </c>
      <c r="Z50" s="128">
        <f>Z45*Z48*Z49*0.55</f>
        <v>0</v>
      </c>
      <c r="AA50" s="128">
        <f>AA45*AA48*AA49*0.65</f>
        <v>0</v>
      </c>
      <c r="AB50" s="128">
        <f t="shared" si="25"/>
        <v>0</v>
      </c>
      <c r="AC50" s="96">
        <f t="shared" si="25"/>
        <v>0</v>
      </c>
      <c r="AD50" s="96">
        <f t="shared" si="25"/>
        <v>0</v>
      </c>
      <c r="AE50" s="95">
        <f t="shared" si="25"/>
        <v>0</v>
      </c>
      <c r="AF50" s="139">
        <f t="shared" si="25"/>
        <v>0</v>
      </c>
      <c r="AG50" s="95">
        <f t="shared" si="25"/>
        <v>0</v>
      </c>
      <c r="AH50" s="139">
        <f t="shared" si="25"/>
        <v>0</v>
      </c>
      <c r="AI50" s="139">
        <f>AI45*AI48*AI49*0.5</f>
        <v>0</v>
      </c>
      <c r="AJ50" s="154">
        <f>AJ45*AJ48*AJ49*0.5</f>
        <v>0</v>
      </c>
    </row>
    <row r="51" ht="18" customHeight="1" outlineLevel="1" spans="2:36">
      <c r="B51" s="90"/>
      <c r="C51" s="91" t="s">
        <v>191</v>
      </c>
      <c r="D51" s="92"/>
      <c r="E51" s="108">
        <f>SUM(F51:AJ51)</f>
        <v>6200</v>
      </c>
      <c r="F51" s="98"/>
      <c r="G51" s="99"/>
      <c r="H51" s="100"/>
      <c r="I51" s="100"/>
      <c r="J51" s="99"/>
      <c r="K51" s="99"/>
      <c r="L51" s="95"/>
      <c r="M51" s="95">
        <v>1230</v>
      </c>
      <c r="N51" s="95">
        <v>4970</v>
      </c>
      <c r="O51" s="115"/>
      <c r="P51" s="115"/>
      <c r="Q51" s="115"/>
      <c r="R51" s="95"/>
      <c r="S51" s="95"/>
      <c r="T51" s="95"/>
      <c r="U51" s="95"/>
      <c r="V51" s="96"/>
      <c r="W51" s="96"/>
      <c r="X51" s="95"/>
      <c r="Y51" s="128"/>
      <c r="Z51" s="95"/>
      <c r="AA51" s="95"/>
      <c r="AB51" s="95"/>
      <c r="AC51" s="96"/>
      <c r="AD51" s="96"/>
      <c r="AE51" s="95"/>
      <c r="AF51" s="139"/>
      <c r="AG51" s="95"/>
      <c r="AH51" s="139"/>
      <c r="AI51" s="139"/>
      <c r="AJ51" s="154"/>
    </row>
    <row r="52" ht="18" customHeight="1" outlineLevel="1" spans="2:36">
      <c r="B52" s="90"/>
      <c r="C52" s="91" t="s">
        <v>192</v>
      </c>
      <c r="D52" s="92"/>
      <c r="E52" s="92"/>
      <c r="F52" s="95">
        <f t="shared" ref="F52:AJ52" si="26">F51-F50</f>
        <v>0</v>
      </c>
      <c r="G52" s="95">
        <f t="shared" si="26"/>
        <v>0</v>
      </c>
      <c r="H52" s="96">
        <f t="shared" si="26"/>
        <v>0</v>
      </c>
      <c r="I52" s="96">
        <f t="shared" si="26"/>
        <v>0</v>
      </c>
      <c r="J52" s="95">
        <f t="shared" si="26"/>
        <v>0</v>
      </c>
      <c r="K52" s="95">
        <f t="shared" si="26"/>
        <v>0</v>
      </c>
      <c r="L52" s="95">
        <f t="shared" si="26"/>
        <v>0</v>
      </c>
      <c r="M52" s="95">
        <f t="shared" si="26"/>
        <v>-2802</v>
      </c>
      <c r="N52" s="95">
        <v>2090</v>
      </c>
      <c r="O52" s="115">
        <f t="shared" si="26"/>
        <v>0</v>
      </c>
      <c r="P52" s="115">
        <f t="shared" si="26"/>
        <v>0</v>
      </c>
      <c r="Q52" s="115">
        <f t="shared" si="26"/>
        <v>0</v>
      </c>
      <c r="R52" s="95">
        <f t="shared" si="26"/>
        <v>0</v>
      </c>
      <c r="S52" s="95">
        <f t="shared" si="26"/>
        <v>0</v>
      </c>
      <c r="T52" s="95">
        <f t="shared" si="26"/>
        <v>0</v>
      </c>
      <c r="U52" s="95">
        <f t="shared" si="26"/>
        <v>0</v>
      </c>
      <c r="V52" s="96">
        <f t="shared" si="26"/>
        <v>0</v>
      </c>
      <c r="W52" s="123">
        <f t="shared" si="26"/>
        <v>0</v>
      </c>
      <c r="X52" s="128">
        <f t="shared" si="26"/>
        <v>0</v>
      </c>
      <c r="Y52" s="128">
        <f t="shared" si="26"/>
        <v>0</v>
      </c>
      <c r="Z52" s="128">
        <f t="shared" si="26"/>
        <v>0</v>
      </c>
      <c r="AA52" s="128">
        <f t="shared" si="26"/>
        <v>0</v>
      </c>
      <c r="AB52" s="128">
        <f t="shared" si="26"/>
        <v>0</v>
      </c>
      <c r="AC52" s="96">
        <f t="shared" si="26"/>
        <v>0</v>
      </c>
      <c r="AD52" s="96">
        <f t="shared" si="26"/>
        <v>0</v>
      </c>
      <c r="AE52" s="95">
        <f t="shared" si="26"/>
        <v>0</v>
      </c>
      <c r="AF52" s="139">
        <f t="shared" si="26"/>
        <v>0</v>
      </c>
      <c r="AG52" s="95">
        <f t="shared" si="26"/>
        <v>0</v>
      </c>
      <c r="AH52" s="139">
        <f t="shared" si="26"/>
        <v>0</v>
      </c>
      <c r="AI52" s="139">
        <f t="shared" si="26"/>
        <v>0</v>
      </c>
      <c r="AJ52" s="154">
        <f t="shared" si="26"/>
        <v>0</v>
      </c>
    </row>
    <row r="53" ht="18" customHeight="1" outlineLevel="1" spans="2:36">
      <c r="B53" s="90"/>
      <c r="C53" s="91" t="s">
        <v>193</v>
      </c>
      <c r="D53" s="92"/>
      <c r="E53" s="92"/>
      <c r="F53" s="95">
        <f t="shared" ref="F53:AJ53" si="27">E53+F51</f>
        <v>0</v>
      </c>
      <c r="G53" s="95">
        <f t="shared" si="27"/>
        <v>0</v>
      </c>
      <c r="H53" s="96">
        <f t="shared" si="27"/>
        <v>0</v>
      </c>
      <c r="I53" s="96">
        <f t="shared" si="27"/>
        <v>0</v>
      </c>
      <c r="J53" s="95">
        <f t="shared" si="27"/>
        <v>0</v>
      </c>
      <c r="K53" s="95">
        <f t="shared" si="27"/>
        <v>0</v>
      </c>
      <c r="L53" s="95">
        <f t="shared" si="27"/>
        <v>0</v>
      </c>
      <c r="M53" s="95">
        <f t="shared" si="27"/>
        <v>1230</v>
      </c>
      <c r="N53" s="95">
        <v>6200</v>
      </c>
      <c r="O53" s="115">
        <f t="shared" si="27"/>
        <v>6200</v>
      </c>
      <c r="P53" s="115">
        <f t="shared" si="27"/>
        <v>6200</v>
      </c>
      <c r="Q53" s="115">
        <f t="shared" si="27"/>
        <v>6200</v>
      </c>
      <c r="R53" s="95">
        <f t="shared" si="27"/>
        <v>6200</v>
      </c>
      <c r="S53" s="95">
        <f t="shared" si="27"/>
        <v>6200</v>
      </c>
      <c r="T53" s="95">
        <f t="shared" si="27"/>
        <v>6200</v>
      </c>
      <c r="U53" s="95">
        <f t="shared" si="27"/>
        <v>6200</v>
      </c>
      <c r="V53" s="96">
        <f t="shared" si="27"/>
        <v>6200</v>
      </c>
      <c r="W53" s="123">
        <f t="shared" si="27"/>
        <v>6200</v>
      </c>
      <c r="X53" s="128">
        <f t="shared" si="27"/>
        <v>6200</v>
      </c>
      <c r="Y53" s="128">
        <f t="shared" si="27"/>
        <v>6200</v>
      </c>
      <c r="Z53" s="128">
        <f t="shared" si="27"/>
        <v>6200</v>
      </c>
      <c r="AA53" s="128">
        <f t="shared" si="27"/>
        <v>6200</v>
      </c>
      <c r="AB53" s="128">
        <f t="shared" si="27"/>
        <v>6200</v>
      </c>
      <c r="AC53" s="96">
        <f t="shared" si="27"/>
        <v>6200</v>
      </c>
      <c r="AD53" s="96">
        <f t="shared" si="27"/>
        <v>6200</v>
      </c>
      <c r="AE53" s="95">
        <f t="shared" si="27"/>
        <v>6200</v>
      </c>
      <c r="AF53" s="139">
        <f t="shared" si="27"/>
        <v>6200</v>
      </c>
      <c r="AG53" s="95">
        <f t="shared" si="27"/>
        <v>6200</v>
      </c>
      <c r="AH53" s="139">
        <f t="shared" si="27"/>
        <v>6200</v>
      </c>
      <c r="AI53" s="139">
        <f t="shared" si="27"/>
        <v>6200</v>
      </c>
      <c r="AJ53" s="154">
        <f t="shared" si="27"/>
        <v>6200</v>
      </c>
    </row>
    <row r="54" ht="18" customHeight="1" spans="2:36">
      <c r="B54" s="101"/>
      <c r="C54" s="102" t="s">
        <v>194</v>
      </c>
      <c r="D54" s="103"/>
      <c r="E54" s="103"/>
      <c r="F54" s="104" t="str">
        <f t="shared" ref="F54:AJ54" si="28">IF(F51&gt;0,F51/F50,"")</f>
        <v/>
      </c>
      <c r="G54" s="104" t="str">
        <f t="shared" si="28"/>
        <v/>
      </c>
      <c r="H54" s="105" t="str">
        <f t="shared" si="28"/>
        <v/>
      </c>
      <c r="I54" s="105" t="str">
        <f t="shared" si="28"/>
        <v/>
      </c>
      <c r="J54" s="104" t="str">
        <f t="shared" si="28"/>
        <v/>
      </c>
      <c r="K54" s="104" t="str">
        <f t="shared" si="28"/>
        <v/>
      </c>
      <c r="L54" s="104" t="str">
        <f t="shared" si="28"/>
        <v/>
      </c>
      <c r="M54" s="104">
        <f t="shared" si="28"/>
        <v>0.305059523809524</v>
      </c>
      <c r="N54" s="104">
        <f t="shared" si="28"/>
        <v>1.07855902777778</v>
      </c>
      <c r="O54" s="116" t="str">
        <f t="shared" si="28"/>
        <v/>
      </c>
      <c r="P54" s="116" t="str">
        <f t="shared" si="28"/>
        <v/>
      </c>
      <c r="Q54" s="116" t="str">
        <f t="shared" si="28"/>
        <v/>
      </c>
      <c r="R54" s="104" t="str">
        <f t="shared" si="28"/>
        <v/>
      </c>
      <c r="S54" s="104" t="str">
        <f t="shared" si="28"/>
        <v/>
      </c>
      <c r="T54" s="104" t="str">
        <f t="shared" si="28"/>
        <v/>
      </c>
      <c r="U54" s="104" t="str">
        <f t="shared" si="28"/>
        <v/>
      </c>
      <c r="V54" s="105" t="str">
        <f t="shared" si="28"/>
        <v/>
      </c>
      <c r="W54" s="105" t="str">
        <f t="shared" si="28"/>
        <v/>
      </c>
      <c r="X54" s="104" t="str">
        <f t="shared" si="28"/>
        <v/>
      </c>
      <c r="Y54" s="104" t="str">
        <f t="shared" si="28"/>
        <v/>
      </c>
      <c r="Z54" s="142" t="str">
        <f t="shared" si="28"/>
        <v/>
      </c>
      <c r="AA54" s="104" t="str">
        <f t="shared" si="28"/>
        <v/>
      </c>
      <c r="AB54" s="104" t="str">
        <f t="shared" si="28"/>
        <v/>
      </c>
      <c r="AC54" s="105" t="str">
        <f t="shared" si="28"/>
        <v/>
      </c>
      <c r="AD54" s="105" t="str">
        <f t="shared" si="28"/>
        <v/>
      </c>
      <c r="AE54" s="104" t="str">
        <f t="shared" si="28"/>
        <v/>
      </c>
      <c r="AF54" s="141" t="str">
        <f t="shared" si="28"/>
        <v/>
      </c>
      <c r="AG54" s="104" t="str">
        <f t="shared" si="28"/>
        <v/>
      </c>
      <c r="AH54" s="104" t="str">
        <f t="shared" si="28"/>
        <v/>
      </c>
      <c r="AI54" s="155" t="str">
        <f t="shared" si="28"/>
        <v/>
      </c>
      <c r="AJ54" s="156" t="str">
        <f t="shared" si="28"/>
        <v/>
      </c>
    </row>
    <row r="55" ht="18" customHeight="1" outlineLevel="1" spans="2:36">
      <c r="B55" s="85" t="s">
        <v>107</v>
      </c>
      <c r="C55" s="86" t="s">
        <v>185</v>
      </c>
      <c r="D55" s="87"/>
      <c r="E55" s="87"/>
      <c r="F55" s="88">
        <v>5</v>
      </c>
      <c r="G55" s="88">
        <v>5</v>
      </c>
      <c r="H55" s="89">
        <v>5</v>
      </c>
      <c r="I55" s="89">
        <v>5</v>
      </c>
      <c r="J55" s="88">
        <v>5</v>
      </c>
      <c r="K55" s="88">
        <v>5</v>
      </c>
      <c r="L55" s="88">
        <v>6</v>
      </c>
      <c r="M55" s="88">
        <v>6</v>
      </c>
      <c r="N55" s="88">
        <v>6</v>
      </c>
      <c r="O55" s="113">
        <v>0</v>
      </c>
      <c r="P55" s="113">
        <v>6</v>
      </c>
      <c r="Q55" s="113">
        <v>6</v>
      </c>
      <c r="R55" s="88">
        <v>6</v>
      </c>
      <c r="S55" s="88">
        <v>6</v>
      </c>
      <c r="T55" s="88">
        <v>6</v>
      </c>
      <c r="U55" s="88">
        <v>6</v>
      </c>
      <c r="V55" s="89">
        <v>6</v>
      </c>
      <c r="W55" s="126">
        <v>0.2</v>
      </c>
      <c r="X55" s="117">
        <v>1</v>
      </c>
      <c r="Y55" s="127"/>
      <c r="Z55" s="127"/>
      <c r="AA55" s="127"/>
      <c r="AB55" s="127"/>
      <c r="AC55" s="89"/>
      <c r="AD55" s="89"/>
      <c r="AE55" s="88"/>
      <c r="AF55" s="137"/>
      <c r="AG55" s="88"/>
      <c r="AH55" s="157"/>
      <c r="AI55" s="157"/>
      <c r="AJ55" s="158"/>
    </row>
    <row r="56" ht="18" customHeight="1" outlineLevel="1" spans="2:36">
      <c r="B56" s="90"/>
      <c r="C56" s="91" t="s">
        <v>186</v>
      </c>
      <c r="D56" s="92"/>
      <c r="E56" s="92"/>
      <c r="F56" s="93">
        <v>36</v>
      </c>
      <c r="G56" s="93">
        <v>36</v>
      </c>
      <c r="H56" s="94">
        <v>36</v>
      </c>
      <c r="I56" s="94">
        <v>36</v>
      </c>
      <c r="J56" s="93">
        <v>36</v>
      </c>
      <c r="K56" s="93">
        <v>36</v>
      </c>
      <c r="L56" s="93">
        <v>36</v>
      </c>
      <c r="M56" s="93">
        <v>36</v>
      </c>
      <c r="N56" s="93">
        <v>36</v>
      </c>
      <c r="O56" s="114">
        <v>36</v>
      </c>
      <c r="P56" s="114">
        <v>36</v>
      </c>
      <c r="Q56" s="114">
        <v>36</v>
      </c>
      <c r="R56" s="93">
        <v>36</v>
      </c>
      <c r="S56" s="93">
        <v>36</v>
      </c>
      <c r="T56" s="93">
        <v>36</v>
      </c>
      <c r="U56" s="93">
        <v>36</v>
      </c>
      <c r="V56" s="94">
        <v>36</v>
      </c>
      <c r="W56" s="123">
        <v>36</v>
      </c>
      <c r="X56" s="95">
        <v>36</v>
      </c>
      <c r="Y56" s="128">
        <v>36</v>
      </c>
      <c r="Z56" s="128">
        <v>36</v>
      </c>
      <c r="AA56" s="128">
        <v>36</v>
      </c>
      <c r="AB56" s="128">
        <v>36</v>
      </c>
      <c r="AC56" s="94">
        <v>36</v>
      </c>
      <c r="AD56" s="94">
        <v>36</v>
      </c>
      <c r="AE56" s="93">
        <v>36</v>
      </c>
      <c r="AF56" s="138">
        <v>36</v>
      </c>
      <c r="AG56" s="93">
        <v>36</v>
      </c>
      <c r="AH56" s="139">
        <v>36</v>
      </c>
      <c r="AI56" s="139">
        <v>36</v>
      </c>
      <c r="AJ56" s="154">
        <v>36</v>
      </c>
    </row>
    <row r="57" ht="18" customHeight="1" outlineLevel="1" spans="2:36">
      <c r="B57" s="90"/>
      <c r="C57" s="91" t="s">
        <v>187</v>
      </c>
      <c r="D57" s="92"/>
      <c r="E57" s="92"/>
      <c r="F57" s="93">
        <f t="shared" ref="F57:AJ57" si="29">F55*F56</f>
        <v>180</v>
      </c>
      <c r="G57" s="93">
        <f t="shared" si="29"/>
        <v>180</v>
      </c>
      <c r="H57" s="94">
        <f t="shared" si="29"/>
        <v>180</v>
      </c>
      <c r="I57" s="94">
        <f t="shared" si="29"/>
        <v>180</v>
      </c>
      <c r="J57" s="93">
        <f t="shared" si="29"/>
        <v>180</v>
      </c>
      <c r="K57" s="93">
        <f t="shared" si="29"/>
        <v>180</v>
      </c>
      <c r="L57" s="95">
        <f t="shared" si="29"/>
        <v>216</v>
      </c>
      <c r="M57" s="93">
        <f t="shared" si="29"/>
        <v>216</v>
      </c>
      <c r="N57" s="93">
        <v>216</v>
      </c>
      <c r="O57" s="114">
        <f t="shared" si="29"/>
        <v>0</v>
      </c>
      <c r="P57" s="114">
        <f t="shared" si="29"/>
        <v>216</v>
      </c>
      <c r="Q57" s="114">
        <f t="shared" si="29"/>
        <v>216</v>
      </c>
      <c r="R57" s="93">
        <f t="shared" si="29"/>
        <v>216</v>
      </c>
      <c r="S57" s="93">
        <f t="shared" si="29"/>
        <v>216</v>
      </c>
      <c r="T57" s="93">
        <f t="shared" si="29"/>
        <v>216</v>
      </c>
      <c r="U57" s="93">
        <f t="shared" si="29"/>
        <v>216</v>
      </c>
      <c r="V57" s="94">
        <f t="shared" si="29"/>
        <v>216</v>
      </c>
      <c r="W57" s="94">
        <f t="shared" si="29"/>
        <v>7.2</v>
      </c>
      <c r="X57" s="93">
        <f t="shared" si="29"/>
        <v>36</v>
      </c>
      <c r="Y57" s="93">
        <f t="shared" si="29"/>
        <v>0</v>
      </c>
      <c r="Z57" s="93">
        <f t="shared" si="29"/>
        <v>0</v>
      </c>
      <c r="AA57" s="93">
        <f t="shared" si="29"/>
        <v>0</v>
      </c>
      <c r="AB57" s="93">
        <f t="shared" si="29"/>
        <v>0</v>
      </c>
      <c r="AC57" s="94">
        <f t="shared" si="29"/>
        <v>0</v>
      </c>
      <c r="AD57" s="94">
        <f t="shared" si="29"/>
        <v>0</v>
      </c>
      <c r="AE57" s="93">
        <f t="shared" si="29"/>
        <v>0</v>
      </c>
      <c r="AF57" s="138">
        <f t="shared" si="29"/>
        <v>0</v>
      </c>
      <c r="AG57" s="93">
        <f t="shared" si="29"/>
        <v>0</v>
      </c>
      <c r="AH57" s="139">
        <f t="shared" si="29"/>
        <v>0</v>
      </c>
      <c r="AI57" s="139">
        <f t="shared" si="29"/>
        <v>0</v>
      </c>
      <c r="AJ57" s="154">
        <f t="shared" si="29"/>
        <v>0</v>
      </c>
    </row>
    <row r="58" ht="18" customHeight="1" outlineLevel="1" spans="2:36">
      <c r="B58" s="90"/>
      <c r="C58" s="91" t="s">
        <v>188</v>
      </c>
      <c r="D58" s="92"/>
      <c r="E58" s="92"/>
      <c r="F58" s="93">
        <v>11.5</v>
      </c>
      <c r="G58" s="93">
        <v>11.5</v>
      </c>
      <c r="H58" s="94">
        <v>11.5</v>
      </c>
      <c r="I58" s="94">
        <v>8</v>
      </c>
      <c r="J58" s="93">
        <v>11.5</v>
      </c>
      <c r="K58" s="93">
        <v>11.5</v>
      </c>
      <c r="L58" s="93">
        <v>11.5</v>
      </c>
      <c r="M58" s="93">
        <v>11.5</v>
      </c>
      <c r="N58" s="93">
        <v>11.5</v>
      </c>
      <c r="O58" s="114">
        <v>11.5</v>
      </c>
      <c r="P58" s="114">
        <v>11.5</v>
      </c>
      <c r="Q58" s="114">
        <v>11.5</v>
      </c>
      <c r="R58" s="93">
        <v>11.5</v>
      </c>
      <c r="S58" s="93">
        <v>11.5</v>
      </c>
      <c r="T58" s="93">
        <v>11.5</v>
      </c>
      <c r="U58" s="93">
        <v>11.5</v>
      </c>
      <c r="V58" s="94">
        <v>11.5</v>
      </c>
      <c r="W58" s="96">
        <v>8</v>
      </c>
      <c r="X58" s="93">
        <v>8</v>
      </c>
      <c r="Y58" s="93">
        <v>11.5</v>
      </c>
      <c r="Z58" s="93">
        <v>11.5</v>
      </c>
      <c r="AA58" s="93">
        <v>11.5</v>
      </c>
      <c r="AB58" s="93">
        <v>11.5</v>
      </c>
      <c r="AC58" s="94">
        <v>11.5</v>
      </c>
      <c r="AD58" s="94">
        <v>11.5</v>
      </c>
      <c r="AE58" s="93">
        <v>11.5</v>
      </c>
      <c r="AF58" s="93">
        <v>12</v>
      </c>
      <c r="AG58" s="93">
        <v>8</v>
      </c>
      <c r="AH58" s="93">
        <v>12</v>
      </c>
      <c r="AI58" s="139">
        <v>12</v>
      </c>
      <c r="AJ58" s="154">
        <v>12</v>
      </c>
    </row>
    <row r="59" ht="18" customHeight="1" outlineLevel="1" spans="2:36">
      <c r="B59" s="90"/>
      <c r="C59" s="91" t="s">
        <v>189</v>
      </c>
      <c r="D59" s="92"/>
      <c r="E59" s="92"/>
      <c r="F59" s="93">
        <v>720</v>
      </c>
      <c r="G59" s="93">
        <v>720</v>
      </c>
      <c r="H59" s="94">
        <v>720</v>
      </c>
      <c r="I59" s="94">
        <v>720</v>
      </c>
      <c r="J59" s="93">
        <v>720</v>
      </c>
      <c r="K59" s="93">
        <v>720</v>
      </c>
      <c r="L59" s="95">
        <v>720</v>
      </c>
      <c r="M59" s="93">
        <v>720</v>
      </c>
      <c r="N59" s="93">
        <v>720</v>
      </c>
      <c r="O59" s="114">
        <v>720</v>
      </c>
      <c r="P59" s="114">
        <v>720</v>
      </c>
      <c r="Q59" s="114">
        <v>720</v>
      </c>
      <c r="R59" s="93">
        <v>720</v>
      </c>
      <c r="S59" s="93">
        <v>720</v>
      </c>
      <c r="T59" s="93">
        <v>720</v>
      </c>
      <c r="U59" s="93">
        <v>720</v>
      </c>
      <c r="V59" s="94">
        <v>720</v>
      </c>
      <c r="W59" s="123">
        <v>720</v>
      </c>
      <c r="X59" s="95">
        <v>720</v>
      </c>
      <c r="Y59" s="95">
        <v>720</v>
      </c>
      <c r="Z59" s="95">
        <v>720</v>
      </c>
      <c r="AA59" s="95">
        <v>720</v>
      </c>
      <c r="AB59" s="95">
        <v>720</v>
      </c>
      <c r="AC59" s="94">
        <v>700</v>
      </c>
      <c r="AD59" s="94">
        <v>700</v>
      </c>
      <c r="AE59" s="93">
        <v>700</v>
      </c>
      <c r="AF59" s="138">
        <v>700</v>
      </c>
      <c r="AG59" s="93">
        <v>700</v>
      </c>
      <c r="AH59" s="139">
        <v>700</v>
      </c>
      <c r="AI59" s="139">
        <v>700</v>
      </c>
      <c r="AJ59" s="154">
        <v>701</v>
      </c>
    </row>
    <row r="60" ht="18" customHeight="1" outlineLevel="1" spans="2:36">
      <c r="B60" s="90"/>
      <c r="C60" s="91" t="s">
        <v>190</v>
      </c>
      <c r="D60" s="92">
        <v>700000</v>
      </c>
      <c r="E60" s="92">
        <f>SUM(F60:AI60)</f>
        <v>715334.4</v>
      </c>
      <c r="F60" s="95">
        <f>F55*F58*F59*0.9</f>
        <v>37260</v>
      </c>
      <c r="G60" s="95">
        <f t="shared" ref="G60:AJ60" si="30">G55*G58*G59</f>
        <v>41400</v>
      </c>
      <c r="H60" s="96">
        <f t="shared" si="30"/>
        <v>41400</v>
      </c>
      <c r="I60" s="96">
        <f t="shared" si="30"/>
        <v>28800</v>
      </c>
      <c r="J60" s="95">
        <f>J55*J58*J59*0.9</f>
        <v>37260</v>
      </c>
      <c r="K60" s="95">
        <f t="shared" si="30"/>
        <v>41400</v>
      </c>
      <c r="L60" s="95">
        <f>L55*L58*L59*0.9</f>
        <v>44712</v>
      </c>
      <c r="M60" s="95">
        <f>M55*M58*M59*0.92</f>
        <v>45705.6</v>
      </c>
      <c r="N60" s="95">
        <v>46699.2</v>
      </c>
      <c r="O60" s="115">
        <f t="shared" si="30"/>
        <v>0</v>
      </c>
      <c r="P60" s="115">
        <f>P55*P58*P59*0.96</f>
        <v>47692.8</v>
      </c>
      <c r="Q60" s="115">
        <f>Q55*Q58*Q59*0.98</f>
        <v>48686.4</v>
      </c>
      <c r="R60" s="95">
        <f>R55*R58*R59*0.98</f>
        <v>48686.4</v>
      </c>
      <c r="S60" s="95">
        <f>S55*S58*S59</f>
        <v>49680</v>
      </c>
      <c r="T60" s="95">
        <f t="shared" si="30"/>
        <v>49680</v>
      </c>
      <c r="U60" s="129">
        <f t="shared" si="30"/>
        <v>49680</v>
      </c>
      <c r="V60" s="130">
        <f t="shared" si="30"/>
        <v>49680</v>
      </c>
      <c r="W60" s="131">
        <f t="shared" si="30"/>
        <v>1152</v>
      </c>
      <c r="X60" s="129">
        <f t="shared" si="30"/>
        <v>5760</v>
      </c>
      <c r="Y60" s="146">
        <f t="shared" si="30"/>
        <v>0</v>
      </c>
      <c r="Z60" s="146">
        <f t="shared" si="30"/>
        <v>0</v>
      </c>
      <c r="AA60" s="146">
        <f t="shared" si="30"/>
        <v>0</v>
      </c>
      <c r="AB60" s="146">
        <f t="shared" si="30"/>
        <v>0</v>
      </c>
      <c r="AC60" s="130">
        <f t="shared" si="30"/>
        <v>0</v>
      </c>
      <c r="AD60" s="130">
        <f t="shared" si="30"/>
        <v>0</v>
      </c>
      <c r="AE60" s="129">
        <f t="shared" si="30"/>
        <v>0</v>
      </c>
      <c r="AF60" s="139">
        <f t="shared" si="30"/>
        <v>0</v>
      </c>
      <c r="AG60" s="95">
        <f t="shared" si="30"/>
        <v>0</v>
      </c>
      <c r="AH60" s="139">
        <f t="shared" si="30"/>
        <v>0</v>
      </c>
      <c r="AI60" s="139">
        <f t="shared" si="30"/>
        <v>0</v>
      </c>
      <c r="AJ60" s="154">
        <f t="shared" si="30"/>
        <v>0</v>
      </c>
    </row>
    <row r="61" ht="18" customHeight="1" outlineLevel="1" spans="2:36">
      <c r="B61" s="90"/>
      <c r="C61" s="91" t="s">
        <v>191</v>
      </c>
      <c r="D61" s="92"/>
      <c r="E61" s="110">
        <f>SUM(F61:AJ61)</f>
        <v>731993</v>
      </c>
      <c r="F61" s="99">
        <v>50414</v>
      </c>
      <c r="G61" s="99">
        <v>43026</v>
      </c>
      <c r="H61" s="100">
        <v>43768</v>
      </c>
      <c r="I61" s="100">
        <v>26850</v>
      </c>
      <c r="J61" s="99">
        <v>43907</v>
      </c>
      <c r="K61" s="99">
        <v>44490</v>
      </c>
      <c r="L61" s="95">
        <v>44060</v>
      </c>
      <c r="M61" s="95">
        <v>47560</v>
      </c>
      <c r="N61" s="95">
        <v>48868</v>
      </c>
      <c r="O61" s="115"/>
      <c r="P61" s="115">
        <v>50952</v>
      </c>
      <c r="Q61" s="115">
        <v>51810</v>
      </c>
      <c r="R61" s="95">
        <v>52048</v>
      </c>
      <c r="S61" s="95">
        <v>51438</v>
      </c>
      <c r="T61" s="95">
        <v>48482</v>
      </c>
      <c r="U61" s="95">
        <v>47362</v>
      </c>
      <c r="V61" s="96">
        <v>33448</v>
      </c>
      <c r="W61" s="96">
        <v>1100</v>
      </c>
      <c r="X61" s="95">
        <v>2410</v>
      </c>
      <c r="Y61" s="128"/>
      <c r="Z61" s="95"/>
      <c r="AA61" s="95"/>
      <c r="AB61" s="95"/>
      <c r="AC61" s="96"/>
      <c r="AD61" s="96"/>
      <c r="AE61" s="95"/>
      <c r="AF61" s="139"/>
      <c r="AG61" s="95"/>
      <c r="AH61" s="139"/>
      <c r="AI61" s="139"/>
      <c r="AJ61" s="154"/>
    </row>
    <row r="62" ht="18" customHeight="1" outlineLevel="1" spans="2:36">
      <c r="B62" s="90"/>
      <c r="C62" s="91" t="s">
        <v>192</v>
      </c>
      <c r="D62" s="92"/>
      <c r="E62" s="92"/>
      <c r="F62" s="95">
        <f t="shared" ref="F62:AJ62" si="31">F61-F60</f>
        <v>13154</v>
      </c>
      <c r="G62" s="95">
        <f t="shared" si="31"/>
        <v>1626</v>
      </c>
      <c r="H62" s="96">
        <f t="shared" si="31"/>
        <v>2368</v>
      </c>
      <c r="I62" s="96">
        <f t="shared" si="31"/>
        <v>-1950</v>
      </c>
      <c r="J62" s="95">
        <f t="shared" si="31"/>
        <v>6647</v>
      </c>
      <c r="K62" s="95">
        <f t="shared" si="31"/>
        <v>3090</v>
      </c>
      <c r="L62" s="95">
        <f t="shared" si="31"/>
        <v>-652</v>
      </c>
      <c r="M62" s="95">
        <f t="shared" si="31"/>
        <v>1854.4</v>
      </c>
      <c r="N62" s="95">
        <v>2168.8</v>
      </c>
      <c r="O62" s="115">
        <f t="shared" si="31"/>
        <v>0</v>
      </c>
      <c r="P62" s="115">
        <f t="shared" si="31"/>
        <v>3259.2</v>
      </c>
      <c r="Q62" s="115">
        <f t="shared" si="31"/>
        <v>3123.6</v>
      </c>
      <c r="R62" s="95">
        <f t="shared" si="31"/>
        <v>3361.6</v>
      </c>
      <c r="S62" s="95">
        <f t="shared" si="31"/>
        <v>1758</v>
      </c>
      <c r="T62" s="95">
        <f t="shared" si="31"/>
        <v>-1198</v>
      </c>
      <c r="U62" s="95">
        <f t="shared" si="31"/>
        <v>-2318</v>
      </c>
      <c r="V62" s="96">
        <f t="shared" si="31"/>
        <v>-16232</v>
      </c>
      <c r="W62" s="123">
        <f t="shared" si="31"/>
        <v>-52</v>
      </c>
      <c r="X62" s="128">
        <f t="shared" si="31"/>
        <v>-3350</v>
      </c>
      <c r="Y62" s="128">
        <f t="shared" si="31"/>
        <v>0</v>
      </c>
      <c r="Z62" s="128">
        <f t="shared" si="31"/>
        <v>0</v>
      </c>
      <c r="AA62" s="128">
        <f t="shared" si="31"/>
        <v>0</v>
      </c>
      <c r="AB62" s="128">
        <f t="shared" si="31"/>
        <v>0</v>
      </c>
      <c r="AC62" s="96">
        <f t="shared" si="31"/>
        <v>0</v>
      </c>
      <c r="AD62" s="96">
        <f t="shared" si="31"/>
        <v>0</v>
      </c>
      <c r="AE62" s="95">
        <f t="shared" si="31"/>
        <v>0</v>
      </c>
      <c r="AF62" s="139">
        <f t="shared" si="31"/>
        <v>0</v>
      </c>
      <c r="AG62" s="95">
        <f t="shared" si="31"/>
        <v>0</v>
      </c>
      <c r="AH62" s="139">
        <f t="shared" si="31"/>
        <v>0</v>
      </c>
      <c r="AI62" s="139">
        <f t="shared" si="31"/>
        <v>0</v>
      </c>
      <c r="AJ62" s="154">
        <f t="shared" si="31"/>
        <v>0</v>
      </c>
    </row>
    <row r="63" ht="18" customHeight="1" outlineLevel="1" spans="2:36">
      <c r="B63" s="90"/>
      <c r="C63" s="91" t="s">
        <v>193</v>
      </c>
      <c r="D63" s="92"/>
      <c r="E63" s="92"/>
      <c r="F63" s="95">
        <f t="shared" ref="F63:AJ63" si="32">E63+F61</f>
        <v>50414</v>
      </c>
      <c r="G63" s="95">
        <f t="shared" si="32"/>
        <v>93440</v>
      </c>
      <c r="H63" s="96">
        <f t="shared" si="32"/>
        <v>137208</v>
      </c>
      <c r="I63" s="96">
        <f t="shared" si="32"/>
        <v>164058</v>
      </c>
      <c r="J63" s="95">
        <f t="shared" si="32"/>
        <v>207965</v>
      </c>
      <c r="K63" s="95">
        <f t="shared" si="32"/>
        <v>252455</v>
      </c>
      <c r="L63" s="95">
        <f t="shared" si="32"/>
        <v>296515</v>
      </c>
      <c r="M63" s="95">
        <f t="shared" si="32"/>
        <v>344075</v>
      </c>
      <c r="N63" s="95">
        <v>392943</v>
      </c>
      <c r="O63" s="115">
        <f t="shared" si="32"/>
        <v>392943</v>
      </c>
      <c r="P63" s="115">
        <f t="shared" si="32"/>
        <v>443895</v>
      </c>
      <c r="Q63" s="115">
        <f t="shared" si="32"/>
        <v>495705</v>
      </c>
      <c r="R63" s="95">
        <f t="shared" si="32"/>
        <v>547753</v>
      </c>
      <c r="S63" s="95">
        <f t="shared" si="32"/>
        <v>599191</v>
      </c>
      <c r="T63" s="95">
        <f t="shared" si="32"/>
        <v>647673</v>
      </c>
      <c r="U63" s="95">
        <f t="shared" si="32"/>
        <v>695035</v>
      </c>
      <c r="V63" s="96">
        <f t="shared" si="32"/>
        <v>728483</v>
      </c>
      <c r="W63" s="123">
        <f t="shared" si="32"/>
        <v>729583</v>
      </c>
      <c r="X63" s="128">
        <f t="shared" si="32"/>
        <v>731993</v>
      </c>
      <c r="Y63" s="128">
        <f t="shared" si="32"/>
        <v>731993</v>
      </c>
      <c r="Z63" s="128">
        <f t="shared" si="32"/>
        <v>731993</v>
      </c>
      <c r="AA63" s="128">
        <f t="shared" si="32"/>
        <v>731993</v>
      </c>
      <c r="AB63" s="128">
        <f t="shared" si="32"/>
        <v>731993</v>
      </c>
      <c r="AC63" s="96">
        <f t="shared" si="32"/>
        <v>731993</v>
      </c>
      <c r="AD63" s="96">
        <f t="shared" si="32"/>
        <v>731993</v>
      </c>
      <c r="AE63" s="95">
        <f t="shared" si="32"/>
        <v>731993</v>
      </c>
      <c r="AF63" s="95">
        <f t="shared" si="32"/>
        <v>731993</v>
      </c>
      <c r="AG63" s="95">
        <f t="shared" si="32"/>
        <v>731993</v>
      </c>
      <c r="AH63" s="139">
        <f t="shared" si="32"/>
        <v>731993</v>
      </c>
      <c r="AI63" s="139">
        <f t="shared" si="32"/>
        <v>731993</v>
      </c>
      <c r="AJ63" s="154">
        <f t="shared" si="32"/>
        <v>731993</v>
      </c>
    </row>
    <row r="64" ht="18" customHeight="1" spans="2:36">
      <c r="B64" s="101"/>
      <c r="C64" s="102" t="s">
        <v>194</v>
      </c>
      <c r="D64" s="103"/>
      <c r="E64" s="103"/>
      <c r="F64" s="104">
        <f t="shared" ref="F64:M64" si="33">IF(F61&gt;0,F61/F60,"")</f>
        <v>1.35303274288782</v>
      </c>
      <c r="G64" s="104">
        <f t="shared" si="33"/>
        <v>1.03927536231884</v>
      </c>
      <c r="H64" s="105">
        <f t="shared" si="33"/>
        <v>1.05719806763285</v>
      </c>
      <c r="I64" s="105">
        <f t="shared" si="33"/>
        <v>0.932291666666667</v>
      </c>
      <c r="J64" s="104">
        <f t="shared" si="33"/>
        <v>1.1783950617284</v>
      </c>
      <c r="K64" s="104">
        <f t="shared" si="33"/>
        <v>1.07463768115942</v>
      </c>
      <c r="L64" s="104">
        <f t="shared" si="33"/>
        <v>0.985417784934693</v>
      </c>
      <c r="M64" s="104">
        <f t="shared" si="33"/>
        <v>1.04057270881467</v>
      </c>
      <c r="N64" s="104">
        <v>1.04644190906911</v>
      </c>
      <c r="O64" s="116" t="str">
        <f t="shared" ref="O64:AJ64" si="34">IF(O61&gt;0,O61/O60,"")</f>
        <v/>
      </c>
      <c r="P64" s="116">
        <f t="shared" si="34"/>
        <v>1.06833735909823</v>
      </c>
      <c r="Q64" s="116">
        <f t="shared" si="34"/>
        <v>1.0641575470768</v>
      </c>
      <c r="R64" s="104">
        <f t="shared" si="34"/>
        <v>1.06904597587827</v>
      </c>
      <c r="S64" s="104">
        <f t="shared" si="34"/>
        <v>1.03538647342995</v>
      </c>
      <c r="T64" s="104">
        <f t="shared" si="34"/>
        <v>0.975885668276973</v>
      </c>
      <c r="U64" s="104">
        <f t="shared" si="34"/>
        <v>0.953341384863124</v>
      </c>
      <c r="V64" s="105">
        <f t="shared" si="34"/>
        <v>0.673268921095008</v>
      </c>
      <c r="W64" s="105">
        <f t="shared" si="34"/>
        <v>0.954861111111111</v>
      </c>
      <c r="X64" s="104">
        <f t="shared" si="34"/>
        <v>0.418402777777778</v>
      </c>
      <c r="Y64" s="104" t="str">
        <f t="shared" si="34"/>
        <v/>
      </c>
      <c r="Z64" s="104" t="str">
        <f t="shared" si="34"/>
        <v/>
      </c>
      <c r="AA64" s="104" t="str">
        <f t="shared" si="34"/>
        <v/>
      </c>
      <c r="AB64" s="104" t="str">
        <f t="shared" si="34"/>
        <v/>
      </c>
      <c r="AC64" s="105" t="str">
        <f t="shared" si="34"/>
        <v/>
      </c>
      <c r="AD64" s="105" t="str">
        <f t="shared" si="34"/>
        <v/>
      </c>
      <c r="AE64" s="104" t="str">
        <f t="shared" si="34"/>
        <v/>
      </c>
      <c r="AF64" s="141" t="str">
        <f t="shared" si="34"/>
        <v/>
      </c>
      <c r="AG64" s="104" t="str">
        <f t="shared" si="34"/>
        <v/>
      </c>
      <c r="AH64" s="104" t="str">
        <f t="shared" si="34"/>
        <v/>
      </c>
      <c r="AI64" s="155" t="str">
        <f t="shared" si="34"/>
        <v/>
      </c>
      <c r="AJ64" s="156" t="str">
        <f t="shared" si="34"/>
        <v/>
      </c>
    </row>
    <row r="65" ht="18" customHeight="1" outlineLevel="1" spans="2:36">
      <c r="B65" s="85" t="s">
        <v>75</v>
      </c>
      <c r="C65" s="86" t="s">
        <v>185</v>
      </c>
      <c r="D65" s="87"/>
      <c r="E65" s="87"/>
      <c r="F65" s="88"/>
      <c r="G65" s="88"/>
      <c r="H65" s="89"/>
      <c r="I65" s="89"/>
      <c r="J65" s="88"/>
      <c r="K65" s="88"/>
      <c r="L65" s="117"/>
      <c r="M65" s="88"/>
      <c r="N65" s="88"/>
      <c r="O65" s="113"/>
      <c r="P65" s="113"/>
      <c r="Q65" s="113"/>
      <c r="R65" s="88">
        <v>0.3</v>
      </c>
      <c r="S65" s="88">
        <v>1</v>
      </c>
      <c r="T65" s="88">
        <v>0.3</v>
      </c>
      <c r="U65" s="88"/>
      <c r="V65" s="89"/>
      <c r="W65" s="126"/>
      <c r="X65" s="127">
        <v>1</v>
      </c>
      <c r="Y65" s="127"/>
      <c r="Z65" s="127">
        <v>1</v>
      </c>
      <c r="AA65" s="127">
        <v>1</v>
      </c>
      <c r="AB65" s="127"/>
      <c r="AC65" s="89"/>
      <c r="AD65" s="89"/>
      <c r="AE65" s="88"/>
      <c r="AF65" s="137"/>
      <c r="AG65" s="88"/>
      <c r="AH65" s="157"/>
      <c r="AI65" s="157"/>
      <c r="AJ65" s="158"/>
    </row>
    <row r="66" ht="18" customHeight="1" outlineLevel="1" spans="2:36">
      <c r="B66" s="90"/>
      <c r="C66" s="91" t="s">
        <v>186</v>
      </c>
      <c r="D66" s="92"/>
      <c r="E66" s="92"/>
      <c r="F66" s="93">
        <v>35</v>
      </c>
      <c r="G66" s="93">
        <v>35</v>
      </c>
      <c r="H66" s="94">
        <v>35</v>
      </c>
      <c r="I66" s="94">
        <v>35</v>
      </c>
      <c r="J66" s="93">
        <v>35</v>
      </c>
      <c r="K66" s="93">
        <v>35</v>
      </c>
      <c r="L66" s="95">
        <v>35</v>
      </c>
      <c r="M66" s="93">
        <v>35</v>
      </c>
      <c r="N66" s="93">
        <v>35</v>
      </c>
      <c r="O66" s="114">
        <v>35</v>
      </c>
      <c r="P66" s="114">
        <v>35</v>
      </c>
      <c r="Q66" s="114">
        <v>35</v>
      </c>
      <c r="R66" s="93">
        <v>35</v>
      </c>
      <c r="S66" s="93">
        <v>35</v>
      </c>
      <c r="T66" s="93">
        <v>35</v>
      </c>
      <c r="U66" s="93">
        <v>35</v>
      </c>
      <c r="V66" s="94">
        <v>35</v>
      </c>
      <c r="W66" s="123">
        <v>35</v>
      </c>
      <c r="X66" s="128">
        <v>38</v>
      </c>
      <c r="Y66" s="128">
        <v>36</v>
      </c>
      <c r="Z66" s="128">
        <v>36</v>
      </c>
      <c r="AA66" s="128">
        <v>36</v>
      </c>
      <c r="AB66" s="128">
        <v>36</v>
      </c>
      <c r="AC66" s="94">
        <v>38</v>
      </c>
      <c r="AD66" s="94">
        <v>38</v>
      </c>
      <c r="AE66" s="93">
        <v>46</v>
      </c>
      <c r="AF66" s="138">
        <v>36</v>
      </c>
      <c r="AG66" s="93">
        <v>36</v>
      </c>
      <c r="AH66" s="139">
        <v>38</v>
      </c>
      <c r="AI66" s="139">
        <v>36</v>
      </c>
      <c r="AJ66" s="154">
        <v>36</v>
      </c>
    </row>
    <row r="67" ht="18" customHeight="1" outlineLevel="1" spans="2:36">
      <c r="B67" s="90"/>
      <c r="C67" s="91" t="s">
        <v>187</v>
      </c>
      <c r="D67" s="92"/>
      <c r="E67" s="92"/>
      <c r="F67" s="93">
        <f t="shared" ref="F67:AJ67" si="35">F65*F66</f>
        <v>0</v>
      </c>
      <c r="G67" s="93">
        <f t="shared" si="35"/>
        <v>0</v>
      </c>
      <c r="H67" s="94">
        <f t="shared" si="35"/>
        <v>0</v>
      </c>
      <c r="I67" s="94">
        <f t="shared" si="35"/>
        <v>0</v>
      </c>
      <c r="J67" s="93">
        <f t="shared" si="35"/>
        <v>0</v>
      </c>
      <c r="K67" s="93">
        <f t="shared" si="35"/>
        <v>0</v>
      </c>
      <c r="L67" s="95">
        <f t="shared" si="35"/>
        <v>0</v>
      </c>
      <c r="M67" s="93">
        <f t="shared" si="35"/>
        <v>0</v>
      </c>
      <c r="N67" s="93">
        <v>0</v>
      </c>
      <c r="O67" s="114">
        <f t="shared" si="35"/>
        <v>0</v>
      </c>
      <c r="P67" s="114">
        <f t="shared" si="35"/>
        <v>0</v>
      </c>
      <c r="Q67" s="114">
        <f t="shared" si="35"/>
        <v>0</v>
      </c>
      <c r="R67" s="93">
        <f t="shared" si="35"/>
        <v>10.5</v>
      </c>
      <c r="S67" s="93">
        <f t="shared" si="35"/>
        <v>35</v>
      </c>
      <c r="T67" s="93">
        <f t="shared" si="35"/>
        <v>10.5</v>
      </c>
      <c r="U67" s="93">
        <f t="shared" si="35"/>
        <v>0</v>
      </c>
      <c r="V67" s="94">
        <f t="shared" si="35"/>
        <v>0</v>
      </c>
      <c r="W67" s="94">
        <f t="shared" si="35"/>
        <v>0</v>
      </c>
      <c r="X67" s="93">
        <f t="shared" si="35"/>
        <v>38</v>
      </c>
      <c r="Y67" s="93">
        <f t="shared" si="35"/>
        <v>0</v>
      </c>
      <c r="Z67" s="93">
        <f t="shared" si="35"/>
        <v>36</v>
      </c>
      <c r="AA67" s="93">
        <f t="shared" si="35"/>
        <v>36</v>
      </c>
      <c r="AB67" s="93">
        <f t="shared" si="35"/>
        <v>0</v>
      </c>
      <c r="AC67" s="94">
        <f t="shared" si="35"/>
        <v>0</v>
      </c>
      <c r="AD67" s="94">
        <f t="shared" si="35"/>
        <v>0</v>
      </c>
      <c r="AE67" s="93">
        <f t="shared" si="35"/>
        <v>0</v>
      </c>
      <c r="AF67" s="138">
        <f t="shared" si="35"/>
        <v>0</v>
      </c>
      <c r="AG67" s="93">
        <f t="shared" si="35"/>
        <v>0</v>
      </c>
      <c r="AH67" s="139">
        <f t="shared" si="35"/>
        <v>0</v>
      </c>
      <c r="AI67" s="139">
        <f t="shared" si="35"/>
        <v>0</v>
      </c>
      <c r="AJ67" s="154">
        <f t="shared" si="35"/>
        <v>0</v>
      </c>
    </row>
    <row r="68" ht="18" customHeight="1" outlineLevel="1" spans="2:36">
      <c r="B68" s="90"/>
      <c r="C68" s="91" t="s">
        <v>188</v>
      </c>
      <c r="D68" s="92"/>
      <c r="E68" s="92"/>
      <c r="F68" s="93">
        <v>11.5</v>
      </c>
      <c r="G68" s="93">
        <v>11.5</v>
      </c>
      <c r="H68" s="94">
        <v>11.5</v>
      </c>
      <c r="I68" s="94"/>
      <c r="J68" s="93">
        <v>11.5</v>
      </c>
      <c r="K68" s="93">
        <v>11.5</v>
      </c>
      <c r="L68" s="95">
        <v>11.5</v>
      </c>
      <c r="M68" s="93">
        <v>9</v>
      </c>
      <c r="N68" s="93">
        <v>11.5</v>
      </c>
      <c r="O68" s="114">
        <v>11.5</v>
      </c>
      <c r="P68" s="114">
        <v>8</v>
      </c>
      <c r="Q68" s="114">
        <v>11</v>
      </c>
      <c r="R68" s="93">
        <v>8</v>
      </c>
      <c r="S68" s="93">
        <v>8</v>
      </c>
      <c r="T68" s="93">
        <v>8</v>
      </c>
      <c r="U68" s="93"/>
      <c r="V68" s="94"/>
      <c r="W68" s="96"/>
      <c r="X68" s="93">
        <v>4</v>
      </c>
      <c r="Y68" s="93">
        <v>8</v>
      </c>
      <c r="Z68" s="93">
        <v>8</v>
      </c>
      <c r="AA68" s="93">
        <v>11.5</v>
      </c>
      <c r="AB68" s="93">
        <v>4</v>
      </c>
      <c r="AC68" s="94"/>
      <c r="AD68" s="94"/>
      <c r="AE68" s="93"/>
      <c r="AF68" s="93"/>
      <c r="AG68" s="93"/>
      <c r="AH68" s="139"/>
      <c r="AI68" s="139"/>
      <c r="AJ68" s="154"/>
    </row>
    <row r="69" ht="18" customHeight="1" outlineLevel="1" spans="2:36">
      <c r="B69" s="90"/>
      <c r="C69" s="91" t="s">
        <v>189</v>
      </c>
      <c r="D69" s="92"/>
      <c r="E69" s="92"/>
      <c r="F69" s="93">
        <v>700</v>
      </c>
      <c r="G69" s="93">
        <v>700</v>
      </c>
      <c r="H69" s="94">
        <v>700</v>
      </c>
      <c r="I69" s="94">
        <v>700</v>
      </c>
      <c r="J69" s="93">
        <v>700</v>
      </c>
      <c r="K69" s="93">
        <v>700</v>
      </c>
      <c r="L69" s="95">
        <v>700</v>
      </c>
      <c r="M69" s="93">
        <v>700</v>
      </c>
      <c r="N69" s="93">
        <v>700</v>
      </c>
      <c r="O69" s="114">
        <v>700</v>
      </c>
      <c r="P69" s="114">
        <v>700</v>
      </c>
      <c r="Q69" s="114">
        <v>700</v>
      </c>
      <c r="R69" s="93">
        <v>700</v>
      </c>
      <c r="S69" s="93">
        <v>700</v>
      </c>
      <c r="T69" s="93">
        <v>700</v>
      </c>
      <c r="U69" s="93">
        <v>700</v>
      </c>
      <c r="V69" s="94">
        <v>700</v>
      </c>
      <c r="W69" s="96">
        <v>700</v>
      </c>
      <c r="X69" s="93">
        <v>700</v>
      </c>
      <c r="Y69" s="93">
        <v>720</v>
      </c>
      <c r="Z69" s="93">
        <v>720</v>
      </c>
      <c r="AA69" s="93">
        <v>720</v>
      </c>
      <c r="AB69" s="93">
        <v>720</v>
      </c>
      <c r="AC69" s="94">
        <v>700</v>
      </c>
      <c r="AD69" s="94">
        <v>700</v>
      </c>
      <c r="AE69" s="93">
        <v>700</v>
      </c>
      <c r="AF69" s="138">
        <v>700</v>
      </c>
      <c r="AG69" s="93">
        <v>700</v>
      </c>
      <c r="AH69" s="139">
        <v>700</v>
      </c>
      <c r="AI69" s="139">
        <v>700</v>
      </c>
      <c r="AJ69" s="154">
        <v>701</v>
      </c>
    </row>
    <row r="70" ht="18" customHeight="1" outlineLevel="1" spans="2:36">
      <c r="B70" s="90"/>
      <c r="C70" s="91" t="s">
        <v>190</v>
      </c>
      <c r="D70" s="92">
        <v>0</v>
      </c>
      <c r="E70" s="92">
        <f>SUM(F70:AI70)</f>
        <v>24176</v>
      </c>
      <c r="F70" s="95">
        <f>F65*F68*F69*0.75</f>
        <v>0</v>
      </c>
      <c r="G70" s="95">
        <f t="shared" ref="G70:AJ70" si="36">G65*G68*G69</f>
        <v>0</v>
      </c>
      <c r="H70" s="96">
        <f t="shared" si="36"/>
        <v>0</v>
      </c>
      <c r="I70" s="96">
        <f t="shared" si="36"/>
        <v>0</v>
      </c>
      <c r="J70" s="95">
        <f>J65*J68*J69*0.75</f>
        <v>0</v>
      </c>
      <c r="K70" s="95">
        <f t="shared" si="36"/>
        <v>0</v>
      </c>
      <c r="L70" s="95">
        <f t="shared" si="36"/>
        <v>0</v>
      </c>
      <c r="M70" s="95">
        <f t="shared" si="36"/>
        <v>0</v>
      </c>
      <c r="N70" s="95">
        <v>0</v>
      </c>
      <c r="O70" s="115">
        <f>O65*O68*O69*0.35</f>
        <v>0</v>
      </c>
      <c r="P70" s="115">
        <f>P65*P68*P69*0.75</f>
        <v>0</v>
      </c>
      <c r="Q70" s="115">
        <f>Q65*Q68*Q69*0.85</f>
        <v>0</v>
      </c>
      <c r="R70" s="95">
        <f>R65*R68*R69*0.95</f>
        <v>1596</v>
      </c>
      <c r="S70" s="95">
        <f>S65*S68*S69*0.85</f>
        <v>4760</v>
      </c>
      <c r="T70" s="95">
        <f t="shared" si="36"/>
        <v>1680</v>
      </c>
      <c r="U70" s="95">
        <f t="shared" si="36"/>
        <v>0</v>
      </c>
      <c r="V70" s="96">
        <f>V65*V68*V69*0.75</f>
        <v>0</v>
      </c>
      <c r="W70" s="123">
        <f>W65*W68*W69*0.85</f>
        <v>0</v>
      </c>
      <c r="X70" s="128">
        <f>X65*X68*X69*0.75</f>
        <v>2100</v>
      </c>
      <c r="Y70" s="128">
        <f>Y65*Y68*Y69*0.85</f>
        <v>0</v>
      </c>
      <c r="Z70" s="128">
        <f t="shared" si="36"/>
        <v>5760</v>
      </c>
      <c r="AA70" s="128">
        <f t="shared" si="36"/>
        <v>8280</v>
      </c>
      <c r="AB70" s="128">
        <f t="shared" si="36"/>
        <v>0</v>
      </c>
      <c r="AC70" s="96">
        <f t="shared" si="36"/>
        <v>0</v>
      </c>
      <c r="AD70" s="96">
        <f t="shared" si="36"/>
        <v>0</v>
      </c>
      <c r="AE70" s="95">
        <f t="shared" si="36"/>
        <v>0</v>
      </c>
      <c r="AF70" s="139">
        <f t="shared" si="36"/>
        <v>0</v>
      </c>
      <c r="AG70" s="139">
        <f t="shared" si="36"/>
        <v>0</v>
      </c>
      <c r="AH70" s="139">
        <f t="shared" si="36"/>
        <v>0</v>
      </c>
      <c r="AI70" s="139">
        <f t="shared" si="36"/>
        <v>0</v>
      </c>
      <c r="AJ70" s="154">
        <f t="shared" si="36"/>
        <v>0</v>
      </c>
    </row>
    <row r="71" ht="18" customHeight="1" outlineLevel="1" spans="2:36">
      <c r="B71" s="90"/>
      <c r="C71" s="91" t="s">
        <v>191</v>
      </c>
      <c r="D71" s="92"/>
      <c r="E71" s="108">
        <f>SUM(F71:AJ71)</f>
        <v>13900</v>
      </c>
      <c r="F71" s="98"/>
      <c r="G71" s="99"/>
      <c r="H71" s="100"/>
      <c r="I71" s="100"/>
      <c r="J71" s="99"/>
      <c r="K71" s="99"/>
      <c r="L71" s="95"/>
      <c r="M71" s="95"/>
      <c r="N71" s="95"/>
      <c r="O71" s="115"/>
      <c r="P71" s="115"/>
      <c r="Q71" s="115"/>
      <c r="R71" s="95">
        <v>1750</v>
      </c>
      <c r="S71" s="95">
        <v>4536</v>
      </c>
      <c r="T71" s="95">
        <v>1500</v>
      </c>
      <c r="U71" s="95"/>
      <c r="V71" s="96"/>
      <c r="W71" s="96"/>
      <c r="X71" s="95"/>
      <c r="Y71" s="128"/>
      <c r="Z71" s="95">
        <v>4494</v>
      </c>
      <c r="AA71" s="95">
        <v>1620</v>
      </c>
      <c r="AB71" s="95"/>
      <c r="AC71" s="96"/>
      <c r="AD71" s="96"/>
      <c r="AE71" s="95"/>
      <c r="AF71" s="139"/>
      <c r="AG71" s="95"/>
      <c r="AH71" s="139"/>
      <c r="AI71" s="139"/>
      <c r="AJ71" s="154"/>
    </row>
    <row r="72" ht="18" customHeight="1" outlineLevel="1" spans="2:36">
      <c r="B72" s="90"/>
      <c r="C72" s="91" t="s">
        <v>192</v>
      </c>
      <c r="D72" s="92"/>
      <c r="E72" s="92"/>
      <c r="F72" s="95">
        <f t="shared" ref="F72:AJ72" si="37">F71-F70</f>
        <v>0</v>
      </c>
      <c r="G72" s="95">
        <f t="shared" si="37"/>
        <v>0</v>
      </c>
      <c r="H72" s="96">
        <f t="shared" si="37"/>
        <v>0</v>
      </c>
      <c r="I72" s="96">
        <f t="shared" si="37"/>
        <v>0</v>
      </c>
      <c r="J72" s="95">
        <f t="shared" si="37"/>
        <v>0</v>
      </c>
      <c r="K72" s="95">
        <f t="shared" si="37"/>
        <v>0</v>
      </c>
      <c r="L72" s="95">
        <f t="shared" si="37"/>
        <v>0</v>
      </c>
      <c r="M72" s="95">
        <f t="shared" si="37"/>
        <v>0</v>
      </c>
      <c r="N72" s="95">
        <v>0</v>
      </c>
      <c r="O72" s="115">
        <f t="shared" si="37"/>
        <v>0</v>
      </c>
      <c r="P72" s="115">
        <f t="shared" si="37"/>
        <v>0</v>
      </c>
      <c r="Q72" s="115">
        <f t="shared" si="37"/>
        <v>0</v>
      </c>
      <c r="R72" s="95">
        <f t="shared" si="37"/>
        <v>154</v>
      </c>
      <c r="S72" s="95">
        <f t="shared" si="37"/>
        <v>-224</v>
      </c>
      <c r="T72" s="95">
        <f t="shared" si="37"/>
        <v>-180</v>
      </c>
      <c r="U72" s="95">
        <f t="shared" si="37"/>
        <v>0</v>
      </c>
      <c r="V72" s="96">
        <f t="shared" si="37"/>
        <v>0</v>
      </c>
      <c r="W72" s="123">
        <f t="shared" si="37"/>
        <v>0</v>
      </c>
      <c r="X72" s="128">
        <f t="shared" si="37"/>
        <v>-2100</v>
      </c>
      <c r="Y72" s="128">
        <f t="shared" si="37"/>
        <v>0</v>
      </c>
      <c r="Z72" s="128">
        <f t="shared" si="37"/>
        <v>-1266</v>
      </c>
      <c r="AA72" s="128">
        <f t="shared" si="37"/>
        <v>-6660</v>
      </c>
      <c r="AB72" s="128">
        <f t="shared" si="37"/>
        <v>0</v>
      </c>
      <c r="AC72" s="96">
        <f t="shared" si="37"/>
        <v>0</v>
      </c>
      <c r="AD72" s="96">
        <f t="shared" si="37"/>
        <v>0</v>
      </c>
      <c r="AE72" s="95">
        <f t="shared" si="37"/>
        <v>0</v>
      </c>
      <c r="AF72" s="139">
        <f t="shared" si="37"/>
        <v>0</v>
      </c>
      <c r="AG72" s="95">
        <f t="shared" si="37"/>
        <v>0</v>
      </c>
      <c r="AH72" s="139">
        <f t="shared" si="37"/>
        <v>0</v>
      </c>
      <c r="AI72" s="139">
        <f t="shared" si="37"/>
        <v>0</v>
      </c>
      <c r="AJ72" s="154">
        <f t="shared" si="37"/>
        <v>0</v>
      </c>
    </row>
    <row r="73" ht="18" customHeight="1" outlineLevel="1" spans="2:36">
      <c r="B73" s="90"/>
      <c r="C73" s="91" t="s">
        <v>193</v>
      </c>
      <c r="D73" s="92"/>
      <c r="E73" s="92"/>
      <c r="F73" s="95">
        <f t="shared" ref="F73:AJ73" si="38">E73+F71</f>
        <v>0</v>
      </c>
      <c r="G73" s="95">
        <f t="shared" si="38"/>
        <v>0</v>
      </c>
      <c r="H73" s="96">
        <f t="shared" si="38"/>
        <v>0</v>
      </c>
      <c r="I73" s="96">
        <f t="shared" si="38"/>
        <v>0</v>
      </c>
      <c r="J73" s="95">
        <f t="shared" si="38"/>
        <v>0</v>
      </c>
      <c r="K73" s="95">
        <f t="shared" si="38"/>
        <v>0</v>
      </c>
      <c r="L73" s="95">
        <f t="shared" si="38"/>
        <v>0</v>
      </c>
      <c r="M73" s="95">
        <f t="shared" si="38"/>
        <v>0</v>
      </c>
      <c r="N73" s="95">
        <v>0</v>
      </c>
      <c r="O73" s="115">
        <f t="shared" si="38"/>
        <v>0</v>
      </c>
      <c r="P73" s="115">
        <f t="shared" si="38"/>
        <v>0</v>
      </c>
      <c r="Q73" s="115">
        <f t="shared" si="38"/>
        <v>0</v>
      </c>
      <c r="R73" s="95">
        <f t="shared" si="38"/>
        <v>1750</v>
      </c>
      <c r="S73" s="95">
        <f t="shared" si="38"/>
        <v>6286</v>
      </c>
      <c r="T73" s="95">
        <f t="shared" si="38"/>
        <v>7786</v>
      </c>
      <c r="U73" s="95">
        <f t="shared" si="38"/>
        <v>7786</v>
      </c>
      <c r="V73" s="96">
        <f t="shared" si="38"/>
        <v>7786</v>
      </c>
      <c r="W73" s="123">
        <f t="shared" si="38"/>
        <v>7786</v>
      </c>
      <c r="X73" s="128">
        <f t="shared" si="38"/>
        <v>7786</v>
      </c>
      <c r="Y73" s="128">
        <f t="shared" si="38"/>
        <v>7786</v>
      </c>
      <c r="Z73" s="128">
        <f t="shared" si="38"/>
        <v>12280</v>
      </c>
      <c r="AA73" s="128">
        <f t="shared" si="38"/>
        <v>13900</v>
      </c>
      <c r="AB73" s="128">
        <f t="shared" si="38"/>
        <v>13900</v>
      </c>
      <c r="AC73" s="96">
        <f t="shared" si="38"/>
        <v>13900</v>
      </c>
      <c r="AD73" s="96">
        <f t="shared" si="38"/>
        <v>13900</v>
      </c>
      <c r="AE73" s="95">
        <f t="shared" si="38"/>
        <v>13900</v>
      </c>
      <c r="AF73" s="139">
        <f t="shared" si="38"/>
        <v>13900</v>
      </c>
      <c r="AG73" s="95">
        <f t="shared" si="38"/>
        <v>13900</v>
      </c>
      <c r="AH73" s="139">
        <f t="shared" si="38"/>
        <v>13900</v>
      </c>
      <c r="AI73" s="139">
        <f t="shared" si="38"/>
        <v>13900</v>
      </c>
      <c r="AJ73" s="154">
        <f t="shared" si="38"/>
        <v>13900</v>
      </c>
    </row>
    <row r="74" ht="18" customHeight="1" spans="2:36">
      <c r="B74" s="101"/>
      <c r="C74" s="102" t="s">
        <v>194</v>
      </c>
      <c r="D74" s="103"/>
      <c r="E74" s="103"/>
      <c r="F74" s="104" t="str">
        <f t="shared" ref="F74:AJ74" si="39">IF(F71&gt;0,F71/F70,"")</f>
        <v/>
      </c>
      <c r="G74" s="104" t="str">
        <f t="shared" si="39"/>
        <v/>
      </c>
      <c r="H74" s="105" t="str">
        <f t="shared" si="39"/>
        <v/>
      </c>
      <c r="I74" s="105" t="str">
        <f t="shared" si="39"/>
        <v/>
      </c>
      <c r="J74" s="104" t="str">
        <f t="shared" si="39"/>
        <v/>
      </c>
      <c r="K74" s="104" t="str">
        <f t="shared" si="39"/>
        <v/>
      </c>
      <c r="L74" s="104" t="str">
        <f t="shared" si="39"/>
        <v/>
      </c>
      <c r="M74" s="104" t="str">
        <f t="shared" si="39"/>
        <v/>
      </c>
      <c r="N74" s="104" t="s">
        <v>195</v>
      </c>
      <c r="O74" s="116" t="str">
        <f t="shared" si="39"/>
        <v/>
      </c>
      <c r="P74" s="116" t="str">
        <f t="shared" si="39"/>
        <v/>
      </c>
      <c r="Q74" s="116" t="str">
        <f t="shared" si="39"/>
        <v/>
      </c>
      <c r="R74" s="104">
        <f t="shared" si="39"/>
        <v>1.09649122807018</v>
      </c>
      <c r="S74" s="104">
        <f t="shared" si="39"/>
        <v>0.952941176470588</v>
      </c>
      <c r="T74" s="104">
        <f t="shared" si="39"/>
        <v>0.892857142857143</v>
      </c>
      <c r="U74" s="104" t="str">
        <f t="shared" si="39"/>
        <v/>
      </c>
      <c r="V74" s="105" t="str">
        <f t="shared" si="39"/>
        <v/>
      </c>
      <c r="W74" s="105" t="str">
        <f t="shared" si="39"/>
        <v/>
      </c>
      <c r="X74" s="104" t="str">
        <f t="shared" si="39"/>
        <v/>
      </c>
      <c r="Y74" s="104" t="str">
        <f t="shared" si="39"/>
        <v/>
      </c>
      <c r="Z74" s="142">
        <f t="shared" si="39"/>
        <v>0.780208333333333</v>
      </c>
      <c r="AA74" s="104">
        <f t="shared" si="39"/>
        <v>0.195652173913043</v>
      </c>
      <c r="AB74" s="104" t="str">
        <f t="shared" si="39"/>
        <v/>
      </c>
      <c r="AC74" s="105" t="str">
        <f t="shared" si="39"/>
        <v/>
      </c>
      <c r="AD74" s="105" t="str">
        <f t="shared" si="39"/>
        <v/>
      </c>
      <c r="AE74" s="104" t="str">
        <f t="shared" si="39"/>
        <v/>
      </c>
      <c r="AF74" s="141" t="str">
        <f t="shared" si="39"/>
        <v/>
      </c>
      <c r="AG74" s="104" t="str">
        <f t="shared" si="39"/>
        <v/>
      </c>
      <c r="AH74" s="155" t="str">
        <f t="shared" si="39"/>
        <v/>
      </c>
      <c r="AI74" s="155" t="str">
        <f t="shared" si="39"/>
        <v/>
      </c>
      <c r="AJ74" s="156" t="str">
        <f t="shared" si="39"/>
        <v/>
      </c>
    </row>
    <row r="75" ht="18" customHeight="1" outlineLevel="1" spans="2:36">
      <c r="B75" s="85" t="s">
        <v>199</v>
      </c>
      <c r="C75" s="86" t="s">
        <v>185</v>
      </c>
      <c r="D75" s="87"/>
      <c r="E75" s="87"/>
      <c r="F75" s="88"/>
      <c r="G75" s="88"/>
      <c r="H75" s="89"/>
      <c r="I75" s="89"/>
      <c r="J75" s="88"/>
      <c r="K75" s="88">
        <v>1</v>
      </c>
      <c r="L75" s="117"/>
      <c r="M75" s="88"/>
      <c r="N75" s="88"/>
      <c r="O75" s="113"/>
      <c r="P75" s="113"/>
      <c r="Q75" s="113"/>
      <c r="R75" s="88"/>
      <c r="S75" s="88"/>
      <c r="T75" s="88"/>
      <c r="U75" s="88"/>
      <c r="V75" s="165"/>
      <c r="W75" s="126">
        <v>1</v>
      </c>
      <c r="X75" s="127">
        <v>1</v>
      </c>
      <c r="Y75" s="127">
        <v>1</v>
      </c>
      <c r="Z75" s="127">
        <v>1</v>
      </c>
      <c r="AA75" s="117">
        <v>1</v>
      </c>
      <c r="AB75" s="117">
        <v>1</v>
      </c>
      <c r="AC75" s="89">
        <v>1</v>
      </c>
      <c r="AD75" s="89"/>
      <c r="AE75" s="88"/>
      <c r="AF75" s="137"/>
      <c r="AG75" s="88"/>
      <c r="AH75" s="157"/>
      <c r="AI75" s="157"/>
      <c r="AJ75" s="158"/>
    </row>
    <row r="76" ht="18" customHeight="1" outlineLevel="1" spans="2:36">
      <c r="B76" s="90"/>
      <c r="C76" s="91" t="s">
        <v>186</v>
      </c>
      <c r="D76" s="92"/>
      <c r="E76" s="92"/>
      <c r="F76" s="93">
        <v>35</v>
      </c>
      <c r="G76" s="93">
        <v>35</v>
      </c>
      <c r="H76" s="94">
        <v>46</v>
      </c>
      <c r="I76" s="94">
        <v>46</v>
      </c>
      <c r="J76" s="93">
        <v>46</v>
      </c>
      <c r="K76" s="93">
        <v>46</v>
      </c>
      <c r="L76" s="95">
        <v>35</v>
      </c>
      <c r="M76" s="93">
        <v>35</v>
      </c>
      <c r="N76" s="93">
        <v>35</v>
      </c>
      <c r="O76" s="114">
        <v>35</v>
      </c>
      <c r="P76" s="114">
        <v>35</v>
      </c>
      <c r="Q76" s="114">
        <v>35</v>
      </c>
      <c r="R76" s="93">
        <v>35</v>
      </c>
      <c r="S76" s="93">
        <v>35</v>
      </c>
      <c r="T76" s="93">
        <v>35</v>
      </c>
      <c r="U76" s="93">
        <v>46</v>
      </c>
      <c r="V76" s="94">
        <v>46</v>
      </c>
      <c r="W76" s="123">
        <v>46</v>
      </c>
      <c r="X76" s="128">
        <v>38</v>
      </c>
      <c r="Y76" s="128">
        <v>38</v>
      </c>
      <c r="Z76" s="128">
        <v>38</v>
      </c>
      <c r="AA76" s="128">
        <v>38</v>
      </c>
      <c r="AB76" s="128">
        <v>38</v>
      </c>
      <c r="AC76" s="94">
        <v>38</v>
      </c>
      <c r="AD76" s="94">
        <v>38</v>
      </c>
      <c r="AE76" s="93">
        <v>38</v>
      </c>
      <c r="AF76" s="138">
        <v>38</v>
      </c>
      <c r="AG76" s="93">
        <v>38</v>
      </c>
      <c r="AH76" s="139">
        <v>38</v>
      </c>
      <c r="AI76" s="139">
        <v>38</v>
      </c>
      <c r="AJ76" s="154">
        <v>38</v>
      </c>
    </row>
    <row r="77" ht="18" customHeight="1" outlineLevel="1" spans="2:36">
      <c r="B77" s="90"/>
      <c r="C77" s="91" t="s">
        <v>187</v>
      </c>
      <c r="D77" s="92"/>
      <c r="E77" s="92"/>
      <c r="F77" s="93">
        <f t="shared" ref="F77:AJ77" si="40">F75*F76</f>
        <v>0</v>
      </c>
      <c r="G77" s="93">
        <f t="shared" si="40"/>
        <v>0</v>
      </c>
      <c r="H77" s="94">
        <f t="shared" si="40"/>
        <v>0</v>
      </c>
      <c r="I77" s="94">
        <f t="shared" si="40"/>
        <v>0</v>
      </c>
      <c r="J77" s="93">
        <f t="shared" si="40"/>
        <v>0</v>
      </c>
      <c r="K77" s="93">
        <f t="shared" si="40"/>
        <v>46</v>
      </c>
      <c r="L77" s="95">
        <f t="shared" si="40"/>
        <v>0</v>
      </c>
      <c r="M77" s="93">
        <f t="shared" si="40"/>
        <v>0</v>
      </c>
      <c r="N77" s="93">
        <v>0</v>
      </c>
      <c r="O77" s="114">
        <f t="shared" si="40"/>
        <v>0</v>
      </c>
      <c r="P77" s="114">
        <f t="shared" si="40"/>
        <v>0</v>
      </c>
      <c r="Q77" s="114">
        <f t="shared" si="40"/>
        <v>0</v>
      </c>
      <c r="R77" s="93">
        <f t="shared" si="40"/>
        <v>0</v>
      </c>
      <c r="S77" s="93">
        <f t="shared" si="40"/>
        <v>0</v>
      </c>
      <c r="T77" s="93">
        <f t="shared" si="40"/>
        <v>0</v>
      </c>
      <c r="U77" s="93">
        <f t="shared" si="40"/>
        <v>0</v>
      </c>
      <c r="V77" s="94">
        <f t="shared" si="40"/>
        <v>0</v>
      </c>
      <c r="W77" s="94">
        <f t="shared" si="40"/>
        <v>46</v>
      </c>
      <c r="X77" s="93">
        <f t="shared" si="40"/>
        <v>38</v>
      </c>
      <c r="Y77" s="93">
        <f t="shared" si="40"/>
        <v>38</v>
      </c>
      <c r="Z77" s="93">
        <f t="shared" si="40"/>
        <v>38</v>
      </c>
      <c r="AA77" s="93">
        <f t="shared" si="40"/>
        <v>38</v>
      </c>
      <c r="AB77" s="93">
        <f t="shared" si="40"/>
        <v>38</v>
      </c>
      <c r="AC77" s="94">
        <f t="shared" si="40"/>
        <v>38</v>
      </c>
      <c r="AD77" s="94">
        <f t="shared" si="40"/>
        <v>0</v>
      </c>
      <c r="AE77" s="93">
        <f t="shared" si="40"/>
        <v>0</v>
      </c>
      <c r="AF77" s="138">
        <f t="shared" si="40"/>
        <v>0</v>
      </c>
      <c r="AG77" s="93">
        <f t="shared" si="40"/>
        <v>0</v>
      </c>
      <c r="AH77" s="139">
        <f t="shared" si="40"/>
        <v>0</v>
      </c>
      <c r="AI77" s="139">
        <f t="shared" si="40"/>
        <v>0</v>
      </c>
      <c r="AJ77" s="154">
        <f t="shared" si="40"/>
        <v>0</v>
      </c>
    </row>
    <row r="78" ht="18" customHeight="1" outlineLevel="1" spans="2:36">
      <c r="B78" s="90"/>
      <c r="C78" s="91" t="s">
        <v>188</v>
      </c>
      <c r="D78" s="92"/>
      <c r="E78" s="92"/>
      <c r="F78" s="93"/>
      <c r="G78" s="93"/>
      <c r="H78" s="94"/>
      <c r="I78" s="94"/>
      <c r="J78" s="93"/>
      <c r="K78" s="93">
        <v>6</v>
      </c>
      <c r="L78" s="95"/>
      <c r="M78" s="93"/>
      <c r="N78" s="93"/>
      <c r="O78" s="114"/>
      <c r="P78" s="114"/>
      <c r="Q78" s="114"/>
      <c r="R78" s="93"/>
      <c r="S78" s="93"/>
      <c r="T78" s="93">
        <v>1</v>
      </c>
      <c r="U78" s="93">
        <v>5</v>
      </c>
      <c r="V78" s="94">
        <v>8</v>
      </c>
      <c r="W78" s="96">
        <v>8</v>
      </c>
      <c r="X78" s="93">
        <v>11.5</v>
      </c>
      <c r="Y78" s="93">
        <v>4</v>
      </c>
      <c r="Z78" s="93">
        <v>11.5</v>
      </c>
      <c r="AA78" s="93">
        <v>11.5</v>
      </c>
      <c r="AB78" s="93">
        <v>11.5</v>
      </c>
      <c r="AC78" s="94">
        <v>11.5</v>
      </c>
      <c r="AD78" s="94">
        <v>8</v>
      </c>
      <c r="AE78" s="93"/>
      <c r="AF78" s="93"/>
      <c r="AG78" s="93"/>
      <c r="AH78" s="93"/>
      <c r="AI78" s="139"/>
      <c r="AJ78" s="154"/>
    </row>
    <row r="79" ht="18" customHeight="1" outlineLevel="1" spans="2:36">
      <c r="B79" s="90"/>
      <c r="C79" s="91" t="s">
        <v>189</v>
      </c>
      <c r="D79" s="92"/>
      <c r="E79" s="92"/>
      <c r="F79" s="93">
        <v>700</v>
      </c>
      <c r="G79" s="93">
        <v>700</v>
      </c>
      <c r="H79" s="94">
        <v>1100</v>
      </c>
      <c r="I79" s="94">
        <v>1100</v>
      </c>
      <c r="J79" s="93">
        <v>1100</v>
      </c>
      <c r="K79" s="93">
        <v>720</v>
      </c>
      <c r="L79" s="95">
        <v>720</v>
      </c>
      <c r="M79" s="93">
        <v>720</v>
      </c>
      <c r="N79" s="93">
        <v>700</v>
      </c>
      <c r="O79" s="114">
        <v>700</v>
      </c>
      <c r="P79" s="114">
        <v>700</v>
      </c>
      <c r="Q79" s="114">
        <v>700</v>
      </c>
      <c r="R79" s="93">
        <v>700</v>
      </c>
      <c r="S79" s="93">
        <v>700</v>
      </c>
      <c r="T79" s="93">
        <v>700</v>
      </c>
      <c r="U79" s="93">
        <v>700</v>
      </c>
      <c r="V79" s="94">
        <v>700</v>
      </c>
      <c r="W79" s="96">
        <v>700</v>
      </c>
      <c r="X79" s="93">
        <v>720</v>
      </c>
      <c r="Y79" s="93">
        <v>720</v>
      </c>
      <c r="Z79" s="93">
        <v>720</v>
      </c>
      <c r="AA79" s="93">
        <v>720</v>
      </c>
      <c r="AB79" s="93">
        <v>720</v>
      </c>
      <c r="AC79" s="94">
        <v>720</v>
      </c>
      <c r="AD79" s="94">
        <v>720</v>
      </c>
      <c r="AE79" s="93">
        <v>720</v>
      </c>
      <c r="AF79" s="93">
        <v>720</v>
      </c>
      <c r="AG79" s="93">
        <v>720</v>
      </c>
      <c r="AH79" s="93">
        <v>720</v>
      </c>
      <c r="AI79" s="93">
        <v>720</v>
      </c>
      <c r="AJ79" s="154">
        <v>701</v>
      </c>
    </row>
    <row r="80" ht="18" customHeight="1" outlineLevel="1" spans="2:36">
      <c r="B80" s="90"/>
      <c r="C80" s="91" t="s">
        <v>190</v>
      </c>
      <c r="D80" s="92">
        <v>49000</v>
      </c>
      <c r="E80" s="92">
        <f>SUM(F80:AG80)</f>
        <v>48460</v>
      </c>
      <c r="F80" s="95">
        <f>F75*F78*F79</f>
        <v>0</v>
      </c>
      <c r="G80" s="95">
        <f>G75*G78*G79</f>
        <v>0</v>
      </c>
      <c r="H80" s="96">
        <f>H75*H78*H79*0.75</f>
        <v>0</v>
      </c>
      <c r="I80" s="96">
        <f>I75*I78*I79*0.8</f>
        <v>0</v>
      </c>
      <c r="J80" s="95">
        <f>J75*J78*J79*0.85</f>
        <v>0</v>
      </c>
      <c r="K80" s="95">
        <f>K75*K78*K79*0.8</f>
        <v>3456</v>
      </c>
      <c r="L80" s="95">
        <f>L75*L78*L79*0.9</f>
        <v>0</v>
      </c>
      <c r="M80" s="95">
        <f t="shared" ref="M80:AJ80" si="41">M75*M78*M79</f>
        <v>0</v>
      </c>
      <c r="N80" s="95">
        <v>0</v>
      </c>
      <c r="O80" s="115">
        <f t="shared" si="41"/>
        <v>0</v>
      </c>
      <c r="P80" s="115">
        <f t="shared" si="41"/>
        <v>0</v>
      </c>
      <c r="Q80" s="115">
        <f t="shared" si="41"/>
        <v>0</v>
      </c>
      <c r="R80" s="95">
        <f>R75*R78*R79*0.9</f>
        <v>0</v>
      </c>
      <c r="S80" s="95">
        <f>S75*S78*S79*0.95</f>
        <v>0</v>
      </c>
      <c r="T80" s="95">
        <f t="shared" si="41"/>
        <v>0</v>
      </c>
      <c r="U80" s="95">
        <f t="shared" si="41"/>
        <v>0</v>
      </c>
      <c r="V80" s="96">
        <f>V75*V78*V79*0.85</f>
        <v>0</v>
      </c>
      <c r="W80" s="123">
        <f>W75*W78*W79*0.65</f>
        <v>3640</v>
      </c>
      <c r="X80" s="128">
        <f>X75*X78*X79*0.75</f>
        <v>6210</v>
      </c>
      <c r="Y80" s="128">
        <f>Y75*Y78*Y79*0.85</f>
        <v>2448</v>
      </c>
      <c r="Z80" s="128">
        <f>Z75*Z78*Z79*0.95</f>
        <v>7866</v>
      </c>
      <c r="AA80" s="128">
        <f t="shared" si="41"/>
        <v>8280</v>
      </c>
      <c r="AB80" s="128">
        <f t="shared" si="41"/>
        <v>8280</v>
      </c>
      <c r="AC80" s="96">
        <f t="shared" si="41"/>
        <v>8280</v>
      </c>
      <c r="AD80" s="96">
        <f t="shared" si="41"/>
        <v>0</v>
      </c>
      <c r="AE80" s="95">
        <f t="shared" si="41"/>
        <v>0</v>
      </c>
      <c r="AF80" s="139">
        <f t="shared" si="41"/>
        <v>0</v>
      </c>
      <c r="AG80" s="95">
        <f t="shared" si="41"/>
        <v>0</v>
      </c>
      <c r="AH80" s="139">
        <f t="shared" si="41"/>
        <v>0</v>
      </c>
      <c r="AI80" s="139">
        <f t="shared" si="41"/>
        <v>0</v>
      </c>
      <c r="AJ80" s="154">
        <f t="shared" si="41"/>
        <v>0</v>
      </c>
    </row>
    <row r="81" ht="18" customHeight="1" outlineLevel="1" spans="2:36">
      <c r="B81" s="90"/>
      <c r="C81" s="91" t="s">
        <v>191</v>
      </c>
      <c r="D81" s="92"/>
      <c r="E81" s="108">
        <f>SUM(F81:AJ81)</f>
        <v>45338</v>
      </c>
      <c r="F81" s="98"/>
      <c r="G81" s="99"/>
      <c r="H81" s="100"/>
      <c r="I81" s="100"/>
      <c r="J81" s="99"/>
      <c r="K81" s="99">
        <v>3677</v>
      </c>
      <c r="L81" s="95"/>
      <c r="M81" s="95"/>
      <c r="N81" s="95"/>
      <c r="O81" s="115"/>
      <c r="P81" s="115"/>
      <c r="Q81" s="115"/>
      <c r="R81" s="95"/>
      <c r="S81" s="95"/>
      <c r="T81" s="95"/>
      <c r="U81" s="95"/>
      <c r="V81" s="96"/>
      <c r="W81" s="96">
        <v>3456</v>
      </c>
      <c r="X81" s="95">
        <v>7000</v>
      </c>
      <c r="Y81" s="128">
        <v>2000</v>
      </c>
      <c r="Z81" s="95">
        <v>8600</v>
      </c>
      <c r="AA81" s="95">
        <v>6500</v>
      </c>
      <c r="AB81" s="95">
        <v>7685</v>
      </c>
      <c r="AC81" s="96">
        <v>6220</v>
      </c>
      <c r="AD81" s="96"/>
      <c r="AE81" s="95"/>
      <c r="AF81" s="139"/>
      <c r="AG81" s="95">
        <v>200</v>
      </c>
      <c r="AH81" s="139"/>
      <c r="AI81" s="139"/>
      <c r="AJ81" s="154"/>
    </row>
    <row r="82" ht="18" customHeight="1" outlineLevel="1" spans="2:36">
      <c r="B82" s="90"/>
      <c r="C82" s="91" t="s">
        <v>192</v>
      </c>
      <c r="D82" s="92"/>
      <c r="E82" s="92"/>
      <c r="F82" s="95">
        <f t="shared" ref="F82:AJ82" si="42">F81-F80</f>
        <v>0</v>
      </c>
      <c r="G82" s="95">
        <f t="shared" si="42"/>
        <v>0</v>
      </c>
      <c r="H82" s="96">
        <f t="shared" si="42"/>
        <v>0</v>
      </c>
      <c r="I82" s="96">
        <f t="shared" si="42"/>
        <v>0</v>
      </c>
      <c r="J82" s="95">
        <f t="shared" si="42"/>
        <v>0</v>
      </c>
      <c r="K82" s="95">
        <f t="shared" si="42"/>
        <v>221</v>
      </c>
      <c r="L82" s="95">
        <f t="shared" si="42"/>
        <v>0</v>
      </c>
      <c r="M82" s="95">
        <f t="shared" si="42"/>
        <v>0</v>
      </c>
      <c r="N82" s="95">
        <v>0</v>
      </c>
      <c r="O82" s="115">
        <f t="shared" si="42"/>
        <v>0</v>
      </c>
      <c r="P82" s="115">
        <f t="shared" si="42"/>
        <v>0</v>
      </c>
      <c r="Q82" s="115">
        <f t="shared" si="42"/>
        <v>0</v>
      </c>
      <c r="R82" s="95">
        <f t="shared" si="42"/>
        <v>0</v>
      </c>
      <c r="S82" s="95">
        <f t="shared" si="42"/>
        <v>0</v>
      </c>
      <c r="T82" s="95">
        <f t="shared" si="42"/>
        <v>0</v>
      </c>
      <c r="U82" s="95">
        <f t="shared" si="42"/>
        <v>0</v>
      </c>
      <c r="V82" s="96">
        <f t="shared" si="42"/>
        <v>0</v>
      </c>
      <c r="W82" s="123">
        <f t="shared" si="42"/>
        <v>-184</v>
      </c>
      <c r="X82" s="128">
        <f t="shared" si="42"/>
        <v>790</v>
      </c>
      <c r="Y82" s="128">
        <f t="shared" si="42"/>
        <v>-448</v>
      </c>
      <c r="Z82" s="128">
        <f t="shared" si="42"/>
        <v>734</v>
      </c>
      <c r="AA82" s="128">
        <f t="shared" si="42"/>
        <v>-1780</v>
      </c>
      <c r="AB82" s="128">
        <f t="shared" si="42"/>
        <v>-595</v>
      </c>
      <c r="AC82" s="96">
        <f t="shared" si="42"/>
        <v>-2060</v>
      </c>
      <c r="AD82" s="96">
        <f t="shared" si="42"/>
        <v>0</v>
      </c>
      <c r="AE82" s="95">
        <f t="shared" si="42"/>
        <v>0</v>
      </c>
      <c r="AF82" s="139">
        <f t="shared" si="42"/>
        <v>0</v>
      </c>
      <c r="AG82" s="95">
        <f t="shared" si="42"/>
        <v>200</v>
      </c>
      <c r="AH82" s="139">
        <f t="shared" si="42"/>
        <v>0</v>
      </c>
      <c r="AI82" s="139">
        <f t="shared" si="42"/>
        <v>0</v>
      </c>
      <c r="AJ82" s="154">
        <f t="shared" si="42"/>
        <v>0</v>
      </c>
    </row>
    <row r="83" ht="18" customHeight="1" outlineLevel="1" spans="2:36">
      <c r="B83" s="90"/>
      <c r="C83" s="91" t="s">
        <v>193</v>
      </c>
      <c r="D83" s="92"/>
      <c r="E83" s="92"/>
      <c r="F83" s="95">
        <f t="shared" ref="F83:AJ83" si="43">E83+F81</f>
        <v>0</v>
      </c>
      <c r="G83" s="95">
        <f t="shared" si="43"/>
        <v>0</v>
      </c>
      <c r="H83" s="96">
        <f t="shared" si="43"/>
        <v>0</v>
      </c>
      <c r="I83" s="96">
        <f t="shared" si="43"/>
        <v>0</v>
      </c>
      <c r="J83" s="95">
        <f t="shared" si="43"/>
        <v>0</v>
      </c>
      <c r="K83" s="95">
        <f t="shared" si="43"/>
        <v>3677</v>
      </c>
      <c r="L83" s="95">
        <f t="shared" si="43"/>
        <v>3677</v>
      </c>
      <c r="M83" s="95">
        <f t="shared" si="43"/>
        <v>3677</v>
      </c>
      <c r="N83" s="95">
        <v>3677</v>
      </c>
      <c r="O83" s="115">
        <f t="shared" si="43"/>
        <v>3677</v>
      </c>
      <c r="P83" s="115">
        <f t="shared" si="43"/>
        <v>3677</v>
      </c>
      <c r="Q83" s="115">
        <f t="shared" si="43"/>
        <v>3677</v>
      </c>
      <c r="R83" s="95">
        <f t="shared" si="43"/>
        <v>3677</v>
      </c>
      <c r="S83" s="95">
        <f t="shared" si="43"/>
        <v>3677</v>
      </c>
      <c r="T83" s="95">
        <f t="shared" si="43"/>
        <v>3677</v>
      </c>
      <c r="U83" s="95">
        <f t="shared" si="43"/>
        <v>3677</v>
      </c>
      <c r="V83" s="96">
        <f t="shared" si="43"/>
        <v>3677</v>
      </c>
      <c r="W83" s="123">
        <f t="shared" si="43"/>
        <v>7133</v>
      </c>
      <c r="X83" s="128">
        <f t="shared" si="43"/>
        <v>14133</v>
      </c>
      <c r="Y83" s="128">
        <f t="shared" si="43"/>
        <v>16133</v>
      </c>
      <c r="Z83" s="128">
        <f t="shared" si="43"/>
        <v>24733</v>
      </c>
      <c r="AA83" s="128">
        <f t="shared" si="43"/>
        <v>31233</v>
      </c>
      <c r="AB83" s="128">
        <f t="shared" si="43"/>
        <v>38918</v>
      </c>
      <c r="AC83" s="96">
        <f t="shared" si="43"/>
        <v>45138</v>
      </c>
      <c r="AD83" s="96">
        <f t="shared" si="43"/>
        <v>45138</v>
      </c>
      <c r="AE83" s="95">
        <f t="shared" si="43"/>
        <v>45138</v>
      </c>
      <c r="AF83" s="139">
        <f t="shared" si="43"/>
        <v>45138</v>
      </c>
      <c r="AG83" s="95">
        <f t="shared" si="43"/>
        <v>45338</v>
      </c>
      <c r="AH83" s="139">
        <f t="shared" si="43"/>
        <v>45338</v>
      </c>
      <c r="AI83" s="139">
        <f t="shared" si="43"/>
        <v>45338</v>
      </c>
      <c r="AJ83" s="154">
        <f t="shared" si="43"/>
        <v>45338</v>
      </c>
    </row>
    <row r="84" ht="18" customHeight="1" spans="2:36">
      <c r="B84" s="101"/>
      <c r="C84" s="102" t="s">
        <v>194</v>
      </c>
      <c r="D84" s="103"/>
      <c r="E84" s="103"/>
      <c r="F84" s="104" t="str">
        <f t="shared" ref="F84:AJ84" si="44">IF(F81&gt;0,F81/F80,"")</f>
        <v/>
      </c>
      <c r="G84" s="104" t="str">
        <f t="shared" si="44"/>
        <v/>
      </c>
      <c r="H84" s="105" t="str">
        <f t="shared" si="44"/>
        <v/>
      </c>
      <c r="I84" s="105" t="str">
        <f t="shared" si="44"/>
        <v/>
      </c>
      <c r="J84" s="104" t="str">
        <f t="shared" si="44"/>
        <v/>
      </c>
      <c r="K84" s="104">
        <f t="shared" si="44"/>
        <v>1.06394675925926</v>
      </c>
      <c r="L84" s="104" t="str">
        <f t="shared" si="44"/>
        <v/>
      </c>
      <c r="M84" s="104" t="str">
        <f t="shared" si="44"/>
        <v/>
      </c>
      <c r="N84" s="104" t="s">
        <v>195</v>
      </c>
      <c r="O84" s="116" t="str">
        <f t="shared" si="44"/>
        <v/>
      </c>
      <c r="P84" s="116" t="str">
        <f t="shared" si="44"/>
        <v/>
      </c>
      <c r="Q84" s="116" t="str">
        <f t="shared" si="44"/>
        <v/>
      </c>
      <c r="R84" s="104" t="str">
        <f t="shared" si="44"/>
        <v/>
      </c>
      <c r="S84" s="104" t="str">
        <f t="shared" si="44"/>
        <v/>
      </c>
      <c r="T84" s="104" t="str">
        <f t="shared" si="44"/>
        <v/>
      </c>
      <c r="U84" s="104" t="str">
        <f t="shared" si="44"/>
        <v/>
      </c>
      <c r="V84" s="105" t="str">
        <f t="shared" si="44"/>
        <v/>
      </c>
      <c r="W84" s="105">
        <f t="shared" si="44"/>
        <v>0.949450549450549</v>
      </c>
      <c r="X84" s="104">
        <f t="shared" si="44"/>
        <v>1.12721417069243</v>
      </c>
      <c r="Y84" s="104">
        <f t="shared" si="44"/>
        <v>0.816993464052288</v>
      </c>
      <c r="Z84" s="142">
        <f t="shared" si="44"/>
        <v>1.09331299262649</v>
      </c>
      <c r="AA84" s="104">
        <f t="shared" si="44"/>
        <v>0.785024154589372</v>
      </c>
      <c r="AB84" s="104">
        <f t="shared" si="44"/>
        <v>0.928140096618358</v>
      </c>
      <c r="AC84" s="105">
        <f t="shared" si="44"/>
        <v>0.751207729468599</v>
      </c>
      <c r="AD84" s="105" t="str">
        <f t="shared" si="44"/>
        <v/>
      </c>
      <c r="AE84" s="104" t="str">
        <f t="shared" si="44"/>
        <v/>
      </c>
      <c r="AF84" s="141" t="str">
        <f t="shared" si="44"/>
        <v/>
      </c>
      <c r="AG84" s="104" t="e">
        <f t="shared" si="44"/>
        <v>#DIV/0!</v>
      </c>
      <c r="AH84" s="104" t="str">
        <f t="shared" si="44"/>
        <v/>
      </c>
      <c r="AI84" s="155" t="str">
        <f t="shared" si="44"/>
        <v/>
      </c>
      <c r="AJ84" s="156" t="str">
        <f t="shared" si="44"/>
        <v/>
      </c>
    </row>
    <row r="85" ht="18" customHeight="1" outlineLevel="1" spans="2:36">
      <c r="B85" s="106" t="s">
        <v>200</v>
      </c>
      <c r="C85" s="86" t="s">
        <v>185</v>
      </c>
      <c r="D85" s="87"/>
      <c r="E85" s="87"/>
      <c r="F85" s="88"/>
      <c r="G85" s="88"/>
      <c r="H85" s="89"/>
      <c r="I85" s="89"/>
      <c r="J85" s="88"/>
      <c r="K85" s="88"/>
      <c r="L85" s="117"/>
      <c r="M85" s="88"/>
      <c r="N85" s="88"/>
      <c r="O85" s="113"/>
      <c r="P85" s="113"/>
      <c r="Q85" s="113"/>
      <c r="R85" s="88"/>
      <c r="S85" s="88"/>
      <c r="T85" s="88"/>
      <c r="U85" s="88"/>
      <c r="V85" s="89"/>
      <c r="W85" s="126"/>
      <c r="X85" s="127"/>
      <c r="Y85" s="127"/>
      <c r="Z85" s="127"/>
      <c r="AA85" s="127"/>
      <c r="AB85" s="127"/>
      <c r="AC85" s="89"/>
      <c r="AD85" s="89"/>
      <c r="AE85" s="88"/>
      <c r="AF85" s="88"/>
      <c r="AG85" s="88"/>
      <c r="AH85" s="88"/>
      <c r="AI85" s="157"/>
      <c r="AJ85" s="158"/>
    </row>
    <row r="86" ht="18" customHeight="1" outlineLevel="1" spans="2:36">
      <c r="B86" s="107"/>
      <c r="C86" s="91" t="s">
        <v>186</v>
      </c>
      <c r="D86" s="92"/>
      <c r="E86" s="92"/>
      <c r="F86" s="93">
        <v>46</v>
      </c>
      <c r="G86" s="93">
        <v>46</v>
      </c>
      <c r="H86" s="94">
        <v>41</v>
      </c>
      <c r="I86" s="94">
        <v>41</v>
      </c>
      <c r="J86" s="93">
        <v>41</v>
      </c>
      <c r="K86" s="93">
        <v>41</v>
      </c>
      <c r="L86" s="95">
        <v>41</v>
      </c>
      <c r="M86" s="93">
        <v>41</v>
      </c>
      <c r="N86" s="93">
        <v>41</v>
      </c>
      <c r="O86" s="114">
        <v>41</v>
      </c>
      <c r="P86" s="114">
        <v>41</v>
      </c>
      <c r="Q86" s="114">
        <v>41</v>
      </c>
      <c r="R86" s="93">
        <v>41</v>
      </c>
      <c r="S86" s="93">
        <v>41</v>
      </c>
      <c r="T86" s="93">
        <v>41</v>
      </c>
      <c r="U86" s="93">
        <v>41</v>
      </c>
      <c r="V86" s="94">
        <v>46</v>
      </c>
      <c r="W86" s="123">
        <v>46</v>
      </c>
      <c r="X86" s="128">
        <v>46</v>
      </c>
      <c r="Y86" s="128">
        <v>46</v>
      </c>
      <c r="Z86" s="128">
        <v>46</v>
      </c>
      <c r="AA86" s="128">
        <v>46</v>
      </c>
      <c r="AB86" s="128">
        <v>46</v>
      </c>
      <c r="AC86" s="94">
        <v>46</v>
      </c>
      <c r="AD86" s="94">
        <v>46</v>
      </c>
      <c r="AE86" s="93">
        <v>46</v>
      </c>
      <c r="AF86" s="138">
        <v>46</v>
      </c>
      <c r="AG86" s="93">
        <v>46</v>
      </c>
      <c r="AH86" s="139">
        <v>46</v>
      </c>
      <c r="AI86" s="139">
        <v>46</v>
      </c>
      <c r="AJ86" s="154">
        <v>47</v>
      </c>
    </row>
    <row r="87" ht="18" customHeight="1" outlineLevel="1" spans="2:36">
      <c r="B87" s="107"/>
      <c r="C87" s="91" t="s">
        <v>187</v>
      </c>
      <c r="D87" s="92"/>
      <c r="E87" s="92"/>
      <c r="F87" s="93">
        <f t="shared" ref="F87:AJ87" si="45">F85*F86</f>
        <v>0</v>
      </c>
      <c r="G87" s="93">
        <f t="shared" si="45"/>
        <v>0</v>
      </c>
      <c r="H87" s="94">
        <f t="shared" si="45"/>
        <v>0</v>
      </c>
      <c r="I87" s="94">
        <f t="shared" si="45"/>
        <v>0</v>
      </c>
      <c r="J87" s="93">
        <f t="shared" si="45"/>
        <v>0</v>
      </c>
      <c r="K87" s="93">
        <f t="shared" si="45"/>
        <v>0</v>
      </c>
      <c r="L87" s="95">
        <f t="shared" si="45"/>
        <v>0</v>
      </c>
      <c r="M87" s="93">
        <f t="shared" si="45"/>
        <v>0</v>
      </c>
      <c r="N87" s="93">
        <v>0</v>
      </c>
      <c r="O87" s="114">
        <f t="shared" si="45"/>
        <v>0</v>
      </c>
      <c r="P87" s="114">
        <f t="shared" si="45"/>
        <v>0</v>
      </c>
      <c r="Q87" s="114">
        <f t="shared" si="45"/>
        <v>0</v>
      </c>
      <c r="R87" s="93">
        <f t="shared" si="45"/>
        <v>0</v>
      </c>
      <c r="S87" s="93">
        <f t="shared" si="45"/>
        <v>0</v>
      </c>
      <c r="T87" s="93">
        <f t="shared" si="45"/>
        <v>0</v>
      </c>
      <c r="U87" s="93">
        <f t="shared" si="45"/>
        <v>0</v>
      </c>
      <c r="V87" s="94">
        <f t="shared" si="45"/>
        <v>0</v>
      </c>
      <c r="W87" s="94">
        <f t="shared" si="45"/>
        <v>0</v>
      </c>
      <c r="X87" s="93">
        <f t="shared" si="45"/>
        <v>0</v>
      </c>
      <c r="Y87" s="93">
        <f t="shared" si="45"/>
        <v>0</v>
      </c>
      <c r="Z87" s="93">
        <f t="shared" si="45"/>
        <v>0</v>
      </c>
      <c r="AA87" s="93">
        <f t="shared" si="45"/>
        <v>0</v>
      </c>
      <c r="AB87" s="93">
        <f t="shared" si="45"/>
        <v>0</v>
      </c>
      <c r="AC87" s="94">
        <f t="shared" si="45"/>
        <v>0</v>
      </c>
      <c r="AD87" s="94">
        <f t="shared" si="45"/>
        <v>0</v>
      </c>
      <c r="AE87" s="93">
        <f t="shared" si="45"/>
        <v>0</v>
      </c>
      <c r="AF87" s="138">
        <f t="shared" si="45"/>
        <v>0</v>
      </c>
      <c r="AG87" s="93">
        <f t="shared" si="45"/>
        <v>0</v>
      </c>
      <c r="AH87" s="139">
        <f t="shared" si="45"/>
        <v>0</v>
      </c>
      <c r="AI87" s="139">
        <f t="shared" si="45"/>
        <v>0</v>
      </c>
      <c r="AJ87" s="154">
        <f t="shared" si="45"/>
        <v>0</v>
      </c>
    </row>
    <row r="88" ht="18" customHeight="1" outlineLevel="1" spans="2:36">
      <c r="B88" s="107"/>
      <c r="C88" s="91" t="s">
        <v>188</v>
      </c>
      <c r="D88" s="92"/>
      <c r="E88" s="92"/>
      <c r="F88" s="93"/>
      <c r="G88" s="93"/>
      <c r="H88" s="94"/>
      <c r="I88" s="94"/>
      <c r="J88" s="93"/>
      <c r="K88" s="93"/>
      <c r="L88" s="93"/>
      <c r="M88" s="93"/>
      <c r="N88" s="93"/>
      <c r="O88" s="114"/>
      <c r="P88" s="114"/>
      <c r="Q88" s="114"/>
      <c r="R88" s="93"/>
      <c r="S88" s="93"/>
      <c r="T88" s="93"/>
      <c r="U88" s="93"/>
      <c r="V88" s="94"/>
      <c r="W88" s="96"/>
      <c r="X88" s="93"/>
      <c r="Y88" s="93"/>
      <c r="Z88" s="93"/>
      <c r="AA88" s="93"/>
      <c r="AB88" s="93"/>
      <c r="AC88" s="94"/>
      <c r="AD88" s="94"/>
      <c r="AE88" s="93"/>
      <c r="AF88" s="93"/>
      <c r="AG88" s="93"/>
      <c r="AH88" s="139"/>
      <c r="AI88" s="139"/>
      <c r="AJ88" s="154"/>
    </row>
    <row r="89" ht="18" customHeight="1" outlineLevel="1" spans="2:36">
      <c r="B89" s="107"/>
      <c r="C89" s="91" t="s">
        <v>189</v>
      </c>
      <c r="D89" s="92"/>
      <c r="E89" s="92"/>
      <c r="F89" s="93">
        <v>660</v>
      </c>
      <c r="G89" s="93">
        <v>660</v>
      </c>
      <c r="H89" s="94">
        <v>660</v>
      </c>
      <c r="I89" s="94">
        <v>660</v>
      </c>
      <c r="J89" s="93">
        <v>660</v>
      </c>
      <c r="K89" s="93">
        <v>660</v>
      </c>
      <c r="L89" s="95">
        <v>660</v>
      </c>
      <c r="M89" s="93">
        <v>660</v>
      </c>
      <c r="N89" s="93">
        <v>660</v>
      </c>
      <c r="O89" s="114">
        <v>660</v>
      </c>
      <c r="P89" s="114">
        <v>660</v>
      </c>
      <c r="Q89" s="114">
        <v>660</v>
      </c>
      <c r="R89" s="93">
        <v>660</v>
      </c>
      <c r="S89" s="93">
        <v>660</v>
      </c>
      <c r="T89" s="93">
        <v>660</v>
      </c>
      <c r="U89" s="93">
        <v>660</v>
      </c>
      <c r="V89" s="94">
        <v>660</v>
      </c>
      <c r="W89" s="96">
        <v>660</v>
      </c>
      <c r="X89" s="93">
        <v>660</v>
      </c>
      <c r="Y89" s="93">
        <v>660</v>
      </c>
      <c r="Z89" s="93">
        <v>660</v>
      </c>
      <c r="AA89" s="93">
        <v>660</v>
      </c>
      <c r="AB89" s="93">
        <v>660</v>
      </c>
      <c r="AC89" s="94">
        <v>660</v>
      </c>
      <c r="AD89" s="94">
        <v>660</v>
      </c>
      <c r="AE89" s="93">
        <v>660</v>
      </c>
      <c r="AF89" s="138">
        <v>660</v>
      </c>
      <c r="AG89" s="93">
        <v>660</v>
      </c>
      <c r="AH89" s="139">
        <v>660</v>
      </c>
      <c r="AI89" s="139">
        <v>660</v>
      </c>
      <c r="AJ89" s="154">
        <v>661</v>
      </c>
    </row>
    <row r="90" ht="18" customHeight="1" outlineLevel="1" spans="2:36">
      <c r="B90" s="107"/>
      <c r="C90" s="91" t="s">
        <v>190</v>
      </c>
      <c r="D90" s="92">
        <v>0</v>
      </c>
      <c r="E90" s="92">
        <f>SUM(F90:AI90)</f>
        <v>0</v>
      </c>
      <c r="F90" s="95">
        <f>F85*F88*F89*0.45</f>
        <v>0</v>
      </c>
      <c r="G90" s="95">
        <f>G85*G88*G89*0.55</f>
        <v>0</v>
      </c>
      <c r="H90" s="96">
        <f>H85*H88*H89*0.85</f>
        <v>0</v>
      </c>
      <c r="I90" s="96">
        <f>I85*I88*I89*0.9</f>
        <v>0</v>
      </c>
      <c r="J90" s="95">
        <f>J85*J88*J89*0.65</f>
        <v>0</v>
      </c>
      <c r="K90" s="95">
        <f>K85*K88*K89*0.75</f>
        <v>0</v>
      </c>
      <c r="L90" s="95">
        <f>L85*L88*L89*0.85</f>
        <v>0</v>
      </c>
      <c r="M90" s="95">
        <f>M85*M88*M89*0.55</f>
        <v>0</v>
      </c>
      <c r="N90" s="95">
        <v>0</v>
      </c>
      <c r="O90" s="115">
        <f>O85*O88*O89*0.65</f>
        <v>0</v>
      </c>
      <c r="P90" s="115">
        <f>P85*P88*P89*0.55</f>
        <v>0</v>
      </c>
      <c r="Q90" s="115">
        <f>Q85*Q88*Q89*0.85</f>
        <v>0</v>
      </c>
      <c r="R90" s="95">
        <f>R85*R88*R89*0.85</f>
        <v>0</v>
      </c>
      <c r="S90" s="95">
        <f t="shared" ref="S90:Z90" si="46">S85*S88*S89</f>
        <v>0</v>
      </c>
      <c r="T90" s="95">
        <f t="shared" si="46"/>
        <v>0</v>
      </c>
      <c r="U90" s="95">
        <f t="shared" si="46"/>
        <v>0</v>
      </c>
      <c r="V90" s="96">
        <f t="shared" si="46"/>
        <v>0</v>
      </c>
      <c r="W90" s="123">
        <f t="shared" si="46"/>
        <v>0</v>
      </c>
      <c r="X90" s="128">
        <f t="shared" si="46"/>
        <v>0</v>
      </c>
      <c r="Y90" s="128">
        <f t="shared" si="46"/>
        <v>0</v>
      </c>
      <c r="Z90" s="128">
        <f t="shared" si="46"/>
        <v>0</v>
      </c>
      <c r="AA90" s="128">
        <f>AA85*AA88*AA89*0.85</f>
        <v>0</v>
      </c>
      <c r="AB90" s="128">
        <f>AB85*AB88*AB89*0.85</f>
        <v>0</v>
      </c>
      <c r="AC90" s="96">
        <f>AC85*AC88*AC89*0.95</f>
        <v>0</v>
      </c>
      <c r="AD90" s="96">
        <f>AD85*AD88*AD89*0.9</f>
        <v>0</v>
      </c>
      <c r="AE90" s="95">
        <f>AE85*AE88*AE89*0.95</f>
        <v>0</v>
      </c>
      <c r="AF90" s="139">
        <f>AF85*AF88*AF89</f>
        <v>0</v>
      </c>
      <c r="AG90" s="95">
        <f>AG85*AG88*AG89</f>
        <v>0</v>
      </c>
      <c r="AH90" s="139">
        <f>AH85*AH88*AH89</f>
        <v>0</v>
      </c>
      <c r="AI90" s="139">
        <f>AI85*AI88*AI89</f>
        <v>0</v>
      </c>
      <c r="AJ90" s="154">
        <f>AJ85*AJ88*AJ89</f>
        <v>0</v>
      </c>
    </row>
    <row r="91" ht="18" customHeight="1" outlineLevel="1" spans="2:36">
      <c r="B91" s="90"/>
      <c r="C91" s="91" t="s">
        <v>191</v>
      </c>
      <c r="D91" s="92"/>
      <c r="E91" s="108">
        <f>SUM(F91:AJ91)</f>
        <v>0</v>
      </c>
      <c r="F91" s="98"/>
      <c r="G91" s="99"/>
      <c r="H91" s="100"/>
      <c r="I91" s="100"/>
      <c r="J91" s="99"/>
      <c r="K91" s="99"/>
      <c r="L91" s="95"/>
      <c r="M91" s="95"/>
      <c r="N91" s="95"/>
      <c r="O91" s="115"/>
      <c r="P91" s="115"/>
      <c r="Q91" s="115"/>
      <c r="R91" s="95"/>
      <c r="S91" s="95"/>
      <c r="T91" s="95"/>
      <c r="U91" s="95"/>
      <c r="V91" s="96"/>
      <c r="W91" s="96"/>
      <c r="X91" s="95"/>
      <c r="Y91" s="128"/>
      <c r="Z91" s="95"/>
      <c r="AA91" s="95"/>
      <c r="AB91" s="95"/>
      <c r="AC91" s="96"/>
      <c r="AD91" s="96"/>
      <c r="AE91" s="95"/>
      <c r="AF91" s="139"/>
      <c r="AG91" s="95"/>
      <c r="AH91" s="139"/>
      <c r="AI91" s="139"/>
      <c r="AJ91" s="154"/>
    </row>
    <row r="92" ht="18" customHeight="1" outlineLevel="1" spans="2:36">
      <c r="B92" s="107"/>
      <c r="C92" s="91" t="s">
        <v>192</v>
      </c>
      <c r="D92" s="92"/>
      <c r="E92" s="92"/>
      <c r="F92" s="95">
        <f t="shared" ref="F92:AJ92" si="47">F91-F90</f>
        <v>0</v>
      </c>
      <c r="G92" s="95">
        <f t="shared" si="47"/>
        <v>0</v>
      </c>
      <c r="H92" s="96">
        <f t="shared" si="47"/>
        <v>0</v>
      </c>
      <c r="I92" s="96">
        <f t="shared" si="47"/>
        <v>0</v>
      </c>
      <c r="J92" s="95">
        <f t="shared" si="47"/>
        <v>0</v>
      </c>
      <c r="K92" s="95">
        <f t="shared" si="47"/>
        <v>0</v>
      </c>
      <c r="L92" s="95">
        <f t="shared" si="47"/>
        <v>0</v>
      </c>
      <c r="M92" s="95">
        <f t="shared" si="47"/>
        <v>0</v>
      </c>
      <c r="N92" s="95">
        <v>0</v>
      </c>
      <c r="O92" s="115">
        <f t="shared" si="47"/>
        <v>0</v>
      </c>
      <c r="P92" s="115">
        <f t="shared" si="47"/>
        <v>0</v>
      </c>
      <c r="Q92" s="115">
        <f t="shared" si="47"/>
        <v>0</v>
      </c>
      <c r="R92" s="95">
        <f t="shared" si="47"/>
        <v>0</v>
      </c>
      <c r="S92" s="95">
        <f t="shared" si="47"/>
        <v>0</v>
      </c>
      <c r="T92" s="95">
        <f t="shared" si="47"/>
        <v>0</v>
      </c>
      <c r="U92" s="95">
        <f t="shared" si="47"/>
        <v>0</v>
      </c>
      <c r="V92" s="96">
        <f t="shared" si="47"/>
        <v>0</v>
      </c>
      <c r="W92" s="123">
        <f t="shared" si="47"/>
        <v>0</v>
      </c>
      <c r="X92" s="128">
        <f t="shared" si="47"/>
        <v>0</v>
      </c>
      <c r="Y92" s="128">
        <f t="shared" si="47"/>
        <v>0</v>
      </c>
      <c r="Z92" s="128">
        <f t="shared" si="47"/>
        <v>0</v>
      </c>
      <c r="AA92" s="128">
        <f t="shared" si="47"/>
        <v>0</v>
      </c>
      <c r="AB92" s="128">
        <f t="shared" si="47"/>
        <v>0</v>
      </c>
      <c r="AC92" s="96">
        <f t="shared" si="47"/>
        <v>0</v>
      </c>
      <c r="AD92" s="96">
        <f t="shared" si="47"/>
        <v>0</v>
      </c>
      <c r="AE92" s="95">
        <f t="shared" si="47"/>
        <v>0</v>
      </c>
      <c r="AF92" s="139">
        <f t="shared" si="47"/>
        <v>0</v>
      </c>
      <c r="AG92" s="95">
        <f t="shared" si="47"/>
        <v>0</v>
      </c>
      <c r="AH92" s="139">
        <f t="shared" si="47"/>
        <v>0</v>
      </c>
      <c r="AI92" s="139">
        <f t="shared" si="47"/>
        <v>0</v>
      </c>
      <c r="AJ92" s="154">
        <f t="shared" si="47"/>
        <v>0</v>
      </c>
    </row>
    <row r="93" ht="18" customHeight="1" outlineLevel="1" spans="2:36">
      <c r="B93" s="107"/>
      <c r="C93" s="91" t="s">
        <v>193</v>
      </c>
      <c r="D93" s="92"/>
      <c r="E93" s="92"/>
      <c r="F93" s="95">
        <f t="shared" ref="F93:AJ93" si="48">E93+F91</f>
        <v>0</v>
      </c>
      <c r="G93" s="95">
        <f t="shared" si="48"/>
        <v>0</v>
      </c>
      <c r="H93" s="96">
        <f t="shared" si="48"/>
        <v>0</v>
      </c>
      <c r="I93" s="96">
        <f t="shared" si="48"/>
        <v>0</v>
      </c>
      <c r="J93" s="95">
        <f t="shared" si="48"/>
        <v>0</v>
      </c>
      <c r="K93" s="95">
        <f t="shared" si="48"/>
        <v>0</v>
      </c>
      <c r="L93" s="95">
        <f t="shared" si="48"/>
        <v>0</v>
      </c>
      <c r="M93" s="95">
        <f t="shared" si="48"/>
        <v>0</v>
      </c>
      <c r="N93" s="95">
        <v>0</v>
      </c>
      <c r="O93" s="115">
        <f t="shared" si="48"/>
        <v>0</v>
      </c>
      <c r="P93" s="115">
        <f t="shared" si="48"/>
        <v>0</v>
      </c>
      <c r="Q93" s="115">
        <f t="shared" si="48"/>
        <v>0</v>
      </c>
      <c r="R93" s="95">
        <f t="shared" si="48"/>
        <v>0</v>
      </c>
      <c r="S93" s="95">
        <f t="shared" si="48"/>
        <v>0</v>
      </c>
      <c r="T93" s="95">
        <f t="shared" si="48"/>
        <v>0</v>
      </c>
      <c r="U93" s="95">
        <f t="shared" si="48"/>
        <v>0</v>
      </c>
      <c r="V93" s="96">
        <f t="shared" si="48"/>
        <v>0</v>
      </c>
      <c r="W93" s="123">
        <f t="shared" si="48"/>
        <v>0</v>
      </c>
      <c r="X93" s="128">
        <f t="shared" si="48"/>
        <v>0</v>
      </c>
      <c r="Y93" s="128">
        <f t="shared" si="48"/>
        <v>0</v>
      </c>
      <c r="Z93" s="128">
        <f t="shared" si="48"/>
        <v>0</v>
      </c>
      <c r="AA93" s="128">
        <f t="shared" si="48"/>
        <v>0</v>
      </c>
      <c r="AB93" s="128">
        <f t="shared" si="48"/>
        <v>0</v>
      </c>
      <c r="AC93" s="96">
        <f t="shared" si="48"/>
        <v>0</v>
      </c>
      <c r="AD93" s="96">
        <f t="shared" si="48"/>
        <v>0</v>
      </c>
      <c r="AE93" s="95">
        <f t="shared" si="48"/>
        <v>0</v>
      </c>
      <c r="AF93" s="139">
        <f t="shared" si="48"/>
        <v>0</v>
      </c>
      <c r="AG93" s="95">
        <f t="shared" si="48"/>
        <v>0</v>
      </c>
      <c r="AH93" s="139">
        <f t="shared" si="48"/>
        <v>0</v>
      </c>
      <c r="AI93" s="139">
        <f t="shared" si="48"/>
        <v>0</v>
      </c>
      <c r="AJ93" s="154">
        <f t="shared" si="48"/>
        <v>0</v>
      </c>
    </row>
    <row r="94" ht="18" customHeight="1" spans="2:36">
      <c r="B94" s="109"/>
      <c r="C94" s="102" t="s">
        <v>194</v>
      </c>
      <c r="D94" s="103"/>
      <c r="E94" s="103"/>
      <c r="F94" s="104" t="str">
        <f t="shared" ref="F94:AJ94" si="49">IF(F91&gt;0,F91/F90,"")</f>
        <v/>
      </c>
      <c r="G94" s="104" t="str">
        <f t="shared" si="49"/>
        <v/>
      </c>
      <c r="H94" s="105" t="str">
        <f t="shared" si="49"/>
        <v/>
      </c>
      <c r="I94" s="105" t="str">
        <f t="shared" si="49"/>
        <v/>
      </c>
      <c r="J94" s="104" t="str">
        <f t="shared" si="49"/>
        <v/>
      </c>
      <c r="K94" s="104" t="str">
        <f t="shared" si="49"/>
        <v/>
      </c>
      <c r="L94" s="104" t="str">
        <f t="shared" si="49"/>
        <v/>
      </c>
      <c r="M94" s="104" t="str">
        <f t="shared" si="49"/>
        <v/>
      </c>
      <c r="N94" s="104" t="s">
        <v>195</v>
      </c>
      <c r="O94" s="116" t="str">
        <f t="shared" si="49"/>
        <v/>
      </c>
      <c r="P94" s="116" t="str">
        <f t="shared" si="49"/>
        <v/>
      </c>
      <c r="Q94" s="116" t="str">
        <f t="shared" si="49"/>
        <v/>
      </c>
      <c r="R94" s="104" t="str">
        <f t="shared" si="49"/>
        <v/>
      </c>
      <c r="S94" s="104" t="str">
        <f t="shared" si="49"/>
        <v/>
      </c>
      <c r="T94" s="104" t="str">
        <f t="shared" si="49"/>
        <v/>
      </c>
      <c r="U94" s="104" t="str">
        <f t="shared" si="49"/>
        <v/>
      </c>
      <c r="V94" s="105" t="str">
        <f t="shared" si="49"/>
        <v/>
      </c>
      <c r="W94" s="105" t="str">
        <f t="shared" si="49"/>
        <v/>
      </c>
      <c r="X94" s="104" t="str">
        <f t="shared" si="49"/>
        <v/>
      </c>
      <c r="Y94" s="104" t="str">
        <f t="shared" si="49"/>
        <v/>
      </c>
      <c r="Z94" s="142" t="str">
        <f t="shared" si="49"/>
        <v/>
      </c>
      <c r="AA94" s="104" t="str">
        <f t="shared" si="49"/>
        <v/>
      </c>
      <c r="AB94" s="104" t="str">
        <f t="shared" si="49"/>
        <v/>
      </c>
      <c r="AC94" s="105" t="str">
        <f t="shared" si="49"/>
        <v/>
      </c>
      <c r="AD94" s="105" t="str">
        <f t="shared" si="49"/>
        <v/>
      </c>
      <c r="AE94" s="104" t="str">
        <f t="shared" si="49"/>
        <v/>
      </c>
      <c r="AF94" s="141" t="str">
        <f t="shared" si="49"/>
        <v/>
      </c>
      <c r="AG94" s="104" t="str">
        <f t="shared" si="49"/>
        <v/>
      </c>
      <c r="AH94" s="104" t="str">
        <f t="shared" si="49"/>
        <v/>
      </c>
      <c r="AI94" s="155" t="str">
        <f t="shared" si="49"/>
        <v/>
      </c>
      <c r="AJ94" s="156" t="str">
        <f t="shared" si="49"/>
        <v/>
      </c>
    </row>
    <row r="95" ht="18" customHeight="1" outlineLevel="1" spans="2:36">
      <c r="B95" s="160" t="s">
        <v>145</v>
      </c>
      <c r="C95" s="86" t="s">
        <v>185</v>
      </c>
      <c r="D95" s="87"/>
      <c r="E95" s="87"/>
      <c r="F95" s="88">
        <v>1</v>
      </c>
      <c r="G95" s="88">
        <v>2</v>
      </c>
      <c r="H95" s="89">
        <v>2</v>
      </c>
      <c r="I95" s="89">
        <v>2</v>
      </c>
      <c r="J95" s="88">
        <v>2</v>
      </c>
      <c r="K95" s="88">
        <v>1</v>
      </c>
      <c r="L95" s="117">
        <v>1</v>
      </c>
      <c r="M95" s="88">
        <v>0.15</v>
      </c>
      <c r="N95" s="88"/>
      <c r="O95" s="113"/>
      <c r="P95" s="113"/>
      <c r="Q95" s="113">
        <v>0.15</v>
      </c>
      <c r="R95" s="88"/>
      <c r="S95" s="88"/>
      <c r="T95" s="88"/>
      <c r="U95" s="88"/>
      <c r="V95" s="89"/>
      <c r="W95" s="126"/>
      <c r="X95" s="127"/>
      <c r="Y95" s="127"/>
      <c r="Z95" s="127"/>
      <c r="AA95" s="127"/>
      <c r="AB95" s="127">
        <v>1</v>
      </c>
      <c r="AC95" s="89"/>
      <c r="AD95" s="89"/>
      <c r="AE95" s="88"/>
      <c r="AF95" s="137"/>
      <c r="AG95" s="88"/>
      <c r="AH95" s="157"/>
      <c r="AI95" s="157"/>
      <c r="AJ95" s="158"/>
    </row>
    <row r="96" ht="18" customHeight="1" outlineLevel="1" spans="2:36">
      <c r="B96" s="161"/>
      <c r="C96" s="91" t="s">
        <v>186</v>
      </c>
      <c r="D96" s="92"/>
      <c r="E96" s="92"/>
      <c r="F96" s="93">
        <v>41</v>
      </c>
      <c r="G96" s="93">
        <v>41</v>
      </c>
      <c r="H96" s="94">
        <v>41</v>
      </c>
      <c r="I96" s="94">
        <v>41</v>
      </c>
      <c r="J96" s="93">
        <v>41</v>
      </c>
      <c r="K96" s="93">
        <v>41</v>
      </c>
      <c r="L96" s="93">
        <v>41</v>
      </c>
      <c r="M96" s="93">
        <v>41</v>
      </c>
      <c r="N96" s="93">
        <v>41</v>
      </c>
      <c r="O96" s="114">
        <v>21</v>
      </c>
      <c r="P96" s="114">
        <v>41</v>
      </c>
      <c r="Q96" s="114">
        <v>41</v>
      </c>
      <c r="R96" s="93">
        <v>41</v>
      </c>
      <c r="S96" s="93">
        <v>41</v>
      </c>
      <c r="T96" s="93">
        <v>41</v>
      </c>
      <c r="U96" s="93">
        <v>41</v>
      </c>
      <c r="V96" s="94">
        <v>41</v>
      </c>
      <c r="W96" s="123">
        <v>41</v>
      </c>
      <c r="X96" s="128">
        <v>42</v>
      </c>
      <c r="Y96" s="128">
        <v>42</v>
      </c>
      <c r="Z96" s="128">
        <v>42</v>
      </c>
      <c r="AA96" s="128">
        <v>42</v>
      </c>
      <c r="AB96" s="128">
        <v>42</v>
      </c>
      <c r="AC96" s="94">
        <v>42</v>
      </c>
      <c r="AD96" s="94">
        <v>42</v>
      </c>
      <c r="AE96" s="93">
        <v>42</v>
      </c>
      <c r="AF96" s="138">
        <v>42</v>
      </c>
      <c r="AG96" s="93">
        <v>42</v>
      </c>
      <c r="AH96" s="139">
        <v>42</v>
      </c>
      <c r="AI96" s="139">
        <v>42</v>
      </c>
      <c r="AJ96" s="154">
        <v>42</v>
      </c>
    </row>
    <row r="97" ht="18" customHeight="1" outlineLevel="1" spans="2:36">
      <c r="B97" s="161"/>
      <c r="C97" s="91" t="s">
        <v>187</v>
      </c>
      <c r="D97" s="92"/>
      <c r="E97" s="92"/>
      <c r="F97" s="93">
        <v>41</v>
      </c>
      <c r="G97" s="93">
        <v>82</v>
      </c>
      <c r="H97" s="94">
        <v>82</v>
      </c>
      <c r="I97" s="94">
        <v>82</v>
      </c>
      <c r="J97" s="93">
        <v>82</v>
      </c>
      <c r="K97" s="93">
        <v>41</v>
      </c>
      <c r="L97" s="95">
        <v>41</v>
      </c>
      <c r="M97" s="95">
        <f>+M95*M96</f>
        <v>6.15</v>
      </c>
      <c r="N97" s="95">
        <f t="shared" ref="N97:U97" si="50">+N95*N96</f>
        <v>0</v>
      </c>
      <c r="O97" s="115">
        <f t="shared" si="50"/>
        <v>0</v>
      </c>
      <c r="P97" s="115">
        <f t="shared" si="50"/>
        <v>0</v>
      </c>
      <c r="Q97" s="115">
        <f t="shared" si="50"/>
        <v>6.15</v>
      </c>
      <c r="R97" s="95">
        <f t="shared" si="50"/>
        <v>0</v>
      </c>
      <c r="S97" s="95">
        <f t="shared" si="50"/>
        <v>0</v>
      </c>
      <c r="T97" s="95">
        <f t="shared" si="50"/>
        <v>0</v>
      </c>
      <c r="U97" s="95">
        <f t="shared" si="50"/>
        <v>0</v>
      </c>
      <c r="V97" s="94">
        <v>0</v>
      </c>
      <c r="W97" s="94">
        <f>+W95*W96</f>
        <v>0</v>
      </c>
      <c r="X97" s="93">
        <f>+X95*X96</f>
        <v>0</v>
      </c>
      <c r="Y97" s="93">
        <f t="shared" ref="Y97:AI97" si="51">+Y95*Y96</f>
        <v>0</v>
      </c>
      <c r="Z97" s="93">
        <f t="shared" si="51"/>
        <v>0</v>
      </c>
      <c r="AA97" s="93">
        <f t="shared" si="51"/>
        <v>0</v>
      </c>
      <c r="AB97" s="93">
        <f t="shared" si="51"/>
        <v>42</v>
      </c>
      <c r="AC97" s="94">
        <f t="shared" si="51"/>
        <v>0</v>
      </c>
      <c r="AD97" s="94">
        <f t="shared" si="51"/>
        <v>0</v>
      </c>
      <c r="AE97" s="93">
        <f t="shared" si="51"/>
        <v>0</v>
      </c>
      <c r="AF97" s="93">
        <f t="shared" si="51"/>
        <v>0</v>
      </c>
      <c r="AG97" s="93">
        <f t="shared" si="51"/>
        <v>0</v>
      </c>
      <c r="AH97" s="93">
        <f t="shared" si="51"/>
        <v>0</v>
      </c>
      <c r="AI97" s="93">
        <f t="shared" si="51"/>
        <v>0</v>
      </c>
      <c r="AJ97" s="154">
        <v>0</v>
      </c>
    </row>
    <row r="98" ht="18" customHeight="1" outlineLevel="1" spans="2:36">
      <c r="B98" s="161"/>
      <c r="C98" s="91" t="s">
        <v>188</v>
      </c>
      <c r="D98" s="92"/>
      <c r="E98" s="92"/>
      <c r="F98" s="93">
        <v>8</v>
      </c>
      <c r="G98" s="93">
        <v>8</v>
      </c>
      <c r="H98" s="94">
        <v>8</v>
      </c>
      <c r="I98" s="94">
        <v>8</v>
      </c>
      <c r="J98" s="93">
        <v>11</v>
      </c>
      <c r="K98" s="93">
        <v>11.5</v>
      </c>
      <c r="L98" s="95">
        <v>11.5</v>
      </c>
      <c r="M98" s="93">
        <v>8</v>
      </c>
      <c r="N98" s="93">
        <v>11.5</v>
      </c>
      <c r="O98" s="114"/>
      <c r="P98" s="114">
        <v>8</v>
      </c>
      <c r="Q98" s="114">
        <v>8</v>
      </c>
      <c r="R98" s="93"/>
      <c r="S98" s="93"/>
      <c r="T98" s="93"/>
      <c r="U98" s="93"/>
      <c r="V98" s="94"/>
      <c r="W98" s="96"/>
      <c r="X98" s="93">
        <v>11.5</v>
      </c>
      <c r="Y98" s="93">
        <v>11.5</v>
      </c>
      <c r="Z98" s="93">
        <v>11.5</v>
      </c>
      <c r="AA98" s="93">
        <v>11.5</v>
      </c>
      <c r="AB98" s="93">
        <v>11.5</v>
      </c>
      <c r="AC98" s="94">
        <v>11.5</v>
      </c>
      <c r="AD98" s="94">
        <v>11.5</v>
      </c>
      <c r="AE98" s="93">
        <v>11.5</v>
      </c>
      <c r="AF98" s="93">
        <v>8</v>
      </c>
      <c r="AG98" s="93">
        <v>11.5</v>
      </c>
      <c r="AH98" s="139">
        <v>11.5</v>
      </c>
      <c r="AI98" s="139">
        <v>11.5</v>
      </c>
      <c r="AJ98" s="154"/>
    </row>
    <row r="99" ht="18" customHeight="1" outlineLevel="1" spans="2:36">
      <c r="B99" s="161"/>
      <c r="C99" s="91" t="s">
        <v>189</v>
      </c>
      <c r="D99" s="92"/>
      <c r="E99" s="92"/>
      <c r="F99" s="93">
        <v>700</v>
      </c>
      <c r="G99" s="93">
        <v>700</v>
      </c>
      <c r="H99" s="94">
        <v>700</v>
      </c>
      <c r="I99" s="94">
        <v>700</v>
      </c>
      <c r="J99" s="93">
        <v>700</v>
      </c>
      <c r="K99" s="93">
        <v>700</v>
      </c>
      <c r="L99" s="93">
        <v>700</v>
      </c>
      <c r="M99" s="93">
        <v>700</v>
      </c>
      <c r="N99" s="93">
        <v>700</v>
      </c>
      <c r="O99" s="114">
        <v>700</v>
      </c>
      <c r="P99" s="114">
        <v>700</v>
      </c>
      <c r="Q99" s="114">
        <v>700</v>
      </c>
      <c r="R99" s="93">
        <v>450</v>
      </c>
      <c r="S99" s="93">
        <v>450</v>
      </c>
      <c r="T99" s="93">
        <v>450</v>
      </c>
      <c r="U99" s="93">
        <v>660</v>
      </c>
      <c r="V99" s="94">
        <v>700</v>
      </c>
      <c r="W99" s="96">
        <v>700</v>
      </c>
      <c r="X99" s="93">
        <v>700</v>
      </c>
      <c r="Y99" s="93">
        <v>700</v>
      </c>
      <c r="Z99" s="93">
        <v>700</v>
      </c>
      <c r="AA99" s="93">
        <v>700</v>
      </c>
      <c r="AB99" s="93">
        <v>700</v>
      </c>
      <c r="AC99" s="94">
        <v>700</v>
      </c>
      <c r="AD99" s="94">
        <v>700</v>
      </c>
      <c r="AE99" s="93">
        <v>700</v>
      </c>
      <c r="AF99" s="138">
        <v>700</v>
      </c>
      <c r="AG99" s="93">
        <v>700</v>
      </c>
      <c r="AH99" s="139">
        <v>700</v>
      </c>
      <c r="AI99" s="139">
        <v>700</v>
      </c>
      <c r="AJ99" s="154">
        <v>661</v>
      </c>
    </row>
    <row r="100" ht="18" customHeight="1" outlineLevel="1" spans="2:36">
      <c r="B100" s="161"/>
      <c r="C100" s="91" t="s">
        <v>190</v>
      </c>
      <c r="D100" s="92">
        <v>326600</v>
      </c>
      <c r="E100" s="92">
        <f>SUM(F100:AJ100)</f>
        <v>78417.5</v>
      </c>
      <c r="F100" s="95">
        <f>+F95*F98*F99</f>
        <v>5600</v>
      </c>
      <c r="G100" s="95">
        <f t="shared" ref="G100:M100" si="52">+G95*G98*G99</f>
        <v>11200</v>
      </c>
      <c r="H100" s="96">
        <f t="shared" si="52"/>
        <v>11200</v>
      </c>
      <c r="I100" s="96">
        <f t="shared" si="52"/>
        <v>11200</v>
      </c>
      <c r="J100" s="95">
        <f t="shared" si="52"/>
        <v>15400</v>
      </c>
      <c r="K100" s="95">
        <f t="shared" si="52"/>
        <v>8050</v>
      </c>
      <c r="L100" s="95">
        <f t="shared" si="52"/>
        <v>8050</v>
      </c>
      <c r="M100" s="95">
        <f t="shared" si="52"/>
        <v>840</v>
      </c>
      <c r="N100" s="95">
        <v>0</v>
      </c>
      <c r="O100" s="115">
        <v>0</v>
      </c>
      <c r="P100" s="115">
        <v>0</v>
      </c>
      <c r="Q100" s="115">
        <f>+Q95*Q98*Q99</f>
        <v>840</v>
      </c>
      <c r="R100" s="95">
        <v>0</v>
      </c>
      <c r="S100" s="95">
        <v>0</v>
      </c>
      <c r="T100" s="95">
        <v>0</v>
      </c>
      <c r="U100" s="95">
        <v>0</v>
      </c>
      <c r="V100" s="96">
        <v>0</v>
      </c>
      <c r="W100" s="123">
        <v>0</v>
      </c>
      <c r="X100" s="128">
        <f>+X95*X98*X99*0.75</f>
        <v>0</v>
      </c>
      <c r="Y100" s="128">
        <f>+Y95*Y98*Y99*0.8</f>
        <v>0</v>
      </c>
      <c r="Z100" s="128">
        <f>+Z95*Z98*Z99*0.85</f>
        <v>0</v>
      </c>
      <c r="AA100" s="128">
        <f>+AA95*AA98*AA99*0.95</f>
        <v>0</v>
      </c>
      <c r="AB100" s="128">
        <f>+AB95*AB98*AB99*0.75</f>
        <v>6037.5</v>
      </c>
      <c r="AC100" s="123">
        <f>+AC95*AC98*AC99</f>
        <v>0</v>
      </c>
      <c r="AD100" s="123">
        <f t="shared" ref="AD100:AI100" si="53">+AD95*AD98*AD99</f>
        <v>0</v>
      </c>
      <c r="AE100" s="128">
        <f t="shared" si="53"/>
        <v>0</v>
      </c>
      <c r="AF100" s="128">
        <f t="shared" si="53"/>
        <v>0</v>
      </c>
      <c r="AG100" s="128">
        <f t="shared" si="53"/>
        <v>0</v>
      </c>
      <c r="AH100" s="128">
        <f t="shared" si="53"/>
        <v>0</v>
      </c>
      <c r="AI100" s="128">
        <f t="shared" si="53"/>
        <v>0</v>
      </c>
      <c r="AJ100" s="154">
        <v>0</v>
      </c>
    </row>
    <row r="101" ht="18" customHeight="1" outlineLevel="1" spans="2:36">
      <c r="B101" s="162"/>
      <c r="C101" s="91" t="s">
        <v>191</v>
      </c>
      <c r="D101" s="92"/>
      <c r="E101" s="108">
        <f>SUM(F101:AJ101)</f>
        <v>102359</v>
      </c>
      <c r="F101" s="98">
        <v>5710</v>
      </c>
      <c r="G101" s="99">
        <v>9037</v>
      </c>
      <c r="H101" s="163">
        <v>10614</v>
      </c>
      <c r="I101" s="163">
        <v>10920</v>
      </c>
      <c r="J101" s="99">
        <v>16096</v>
      </c>
      <c r="K101" s="99">
        <v>8400</v>
      </c>
      <c r="L101" s="95">
        <v>8400</v>
      </c>
      <c r="M101" s="95">
        <v>800</v>
      </c>
      <c r="N101" s="95"/>
      <c r="O101" s="96"/>
      <c r="P101" s="96"/>
      <c r="Q101" s="96">
        <v>926</v>
      </c>
      <c r="R101" s="95"/>
      <c r="S101" s="95"/>
      <c r="T101" s="95"/>
      <c r="U101" s="95"/>
      <c r="V101" s="96"/>
      <c r="W101" s="96"/>
      <c r="X101" s="95"/>
      <c r="Y101" s="128"/>
      <c r="Z101" s="95"/>
      <c r="AA101" s="95"/>
      <c r="AB101" s="166">
        <v>6018</v>
      </c>
      <c r="AC101" s="166">
        <v>182</v>
      </c>
      <c r="AD101" s="115"/>
      <c r="AE101" s="95">
        <v>7374</v>
      </c>
      <c r="AF101" s="139">
        <v>5582</v>
      </c>
      <c r="AG101" s="95">
        <v>12300</v>
      </c>
      <c r="AH101" s="139"/>
      <c r="AI101" s="139"/>
      <c r="AJ101" s="154"/>
    </row>
    <row r="102" ht="18" customHeight="1" outlineLevel="1" spans="2:36">
      <c r="B102" s="161"/>
      <c r="C102" s="91" t="s">
        <v>192</v>
      </c>
      <c r="D102" s="92"/>
      <c r="E102" s="92"/>
      <c r="F102" s="95">
        <v>110</v>
      </c>
      <c r="G102" s="95">
        <v>637</v>
      </c>
      <c r="H102" s="115">
        <v>1094</v>
      </c>
      <c r="I102" s="115">
        <v>280</v>
      </c>
      <c r="J102" s="95">
        <v>696</v>
      </c>
      <c r="K102" s="95">
        <v>-8050</v>
      </c>
      <c r="L102" s="95">
        <f>+L101-L100</f>
        <v>350</v>
      </c>
      <c r="M102" s="95">
        <f t="shared" ref="M102:AI102" si="54">+M101-M100</f>
        <v>-40</v>
      </c>
      <c r="N102" s="95">
        <f t="shared" si="54"/>
        <v>0</v>
      </c>
      <c r="O102" s="96">
        <f t="shared" si="54"/>
        <v>0</v>
      </c>
      <c r="P102" s="96">
        <f t="shared" si="54"/>
        <v>0</v>
      </c>
      <c r="Q102" s="96">
        <f t="shared" si="54"/>
        <v>86</v>
      </c>
      <c r="R102" s="95">
        <f t="shared" si="54"/>
        <v>0</v>
      </c>
      <c r="S102" s="95">
        <f t="shared" si="54"/>
        <v>0</v>
      </c>
      <c r="T102" s="95">
        <f t="shared" si="54"/>
        <v>0</v>
      </c>
      <c r="U102" s="95">
        <f t="shared" si="54"/>
        <v>0</v>
      </c>
      <c r="V102" s="96">
        <f t="shared" si="54"/>
        <v>0</v>
      </c>
      <c r="W102" s="96">
        <f t="shared" si="54"/>
        <v>0</v>
      </c>
      <c r="X102" s="95">
        <f t="shared" si="54"/>
        <v>0</v>
      </c>
      <c r="Y102" s="95">
        <f t="shared" si="54"/>
        <v>0</v>
      </c>
      <c r="Z102" s="95">
        <f t="shared" si="54"/>
        <v>0</v>
      </c>
      <c r="AA102" s="95">
        <f t="shared" si="54"/>
        <v>0</v>
      </c>
      <c r="AB102" s="95">
        <f t="shared" si="54"/>
        <v>-19.5</v>
      </c>
      <c r="AC102" s="115">
        <f t="shared" si="54"/>
        <v>182</v>
      </c>
      <c r="AD102" s="115">
        <f t="shared" si="54"/>
        <v>0</v>
      </c>
      <c r="AE102" s="95">
        <f t="shared" si="54"/>
        <v>7374</v>
      </c>
      <c r="AF102" s="95">
        <f t="shared" si="54"/>
        <v>5582</v>
      </c>
      <c r="AG102" s="95">
        <f t="shared" si="54"/>
        <v>12300</v>
      </c>
      <c r="AH102" s="95">
        <f t="shared" si="54"/>
        <v>0</v>
      </c>
      <c r="AI102" s="95">
        <f t="shared" si="54"/>
        <v>0</v>
      </c>
      <c r="AJ102" s="154">
        <v>0</v>
      </c>
    </row>
    <row r="103" ht="18" customHeight="1" outlineLevel="1" spans="2:36">
      <c r="B103" s="161"/>
      <c r="C103" s="91" t="s">
        <v>193</v>
      </c>
      <c r="D103" s="92"/>
      <c r="E103" s="92"/>
      <c r="F103" s="95">
        <f>+F101+E103</f>
        <v>5710</v>
      </c>
      <c r="G103" s="95">
        <f t="shared" ref="G103:AJ103" si="55">+G101+F103</f>
        <v>14747</v>
      </c>
      <c r="H103" s="115">
        <f t="shared" si="55"/>
        <v>25361</v>
      </c>
      <c r="I103" s="115">
        <f t="shared" si="55"/>
        <v>36281</v>
      </c>
      <c r="J103" s="95">
        <f t="shared" si="55"/>
        <v>52377</v>
      </c>
      <c r="K103" s="95">
        <f t="shared" si="55"/>
        <v>60777</v>
      </c>
      <c r="L103" s="95">
        <f t="shared" si="55"/>
        <v>69177</v>
      </c>
      <c r="M103" s="95">
        <f t="shared" si="55"/>
        <v>69977</v>
      </c>
      <c r="N103" s="95">
        <f t="shared" si="55"/>
        <v>69977</v>
      </c>
      <c r="O103" s="96">
        <f t="shared" si="55"/>
        <v>69977</v>
      </c>
      <c r="P103" s="96">
        <f t="shared" si="55"/>
        <v>69977</v>
      </c>
      <c r="Q103" s="96">
        <f t="shared" si="55"/>
        <v>70903</v>
      </c>
      <c r="R103" s="95">
        <f t="shared" si="55"/>
        <v>70903</v>
      </c>
      <c r="S103" s="95">
        <f t="shared" si="55"/>
        <v>70903</v>
      </c>
      <c r="T103" s="95">
        <f t="shared" si="55"/>
        <v>70903</v>
      </c>
      <c r="U103" s="95">
        <f t="shared" si="55"/>
        <v>70903</v>
      </c>
      <c r="V103" s="96">
        <f t="shared" si="55"/>
        <v>70903</v>
      </c>
      <c r="W103" s="96">
        <f t="shared" si="55"/>
        <v>70903</v>
      </c>
      <c r="X103" s="95">
        <f t="shared" si="55"/>
        <v>70903</v>
      </c>
      <c r="Y103" s="95">
        <f t="shared" si="55"/>
        <v>70903</v>
      </c>
      <c r="Z103" s="95">
        <f t="shared" si="55"/>
        <v>70903</v>
      </c>
      <c r="AA103" s="95">
        <f t="shared" si="55"/>
        <v>70903</v>
      </c>
      <c r="AB103" s="95">
        <f t="shared" si="55"/>
        <v>76921</v>
      </c>
      <c r="AC103" s="115">
        <f t="shared" si="55"/>
        <v>77103</v>
      </c>
      <c r="AD103" s="115">
        <f t="shared" si="55"/>
        <v>77103</v>
      </c>
      <c r="AE103" s="95">
        <f t="shared" si="55"/>
        <v>84477</v>
      </c>
      <c r="AF103" s="95">
        <f t="shared" si="55"/>
        <v>90059</v>
      </c>
      <c r="AG103" s="95">
        <f t="shared" si="55"/>
        <v>102359</v>
      </c>
      <c r="AH103" s="95">
        <f t="shared" si="55"/>
        <v>102359</v>
      </c>
      <c r="AI103" s="95">
        <f t="shared" si="55"/>
        <v>102359</v>
      </c>
      <c r="AJ103" s="96">
        <f t="shared" si="55"/>
        <v>102359</v>
      </c>
    </row>
    <row r="104" ht="18" customHeight="1" spans="2:36">
      <c r="B104" s="164"/>
      <c r="C104" s="102" t="s">
        <v>194</v>
      </c>
      <c r="D104" s="103"/>
      <c r="E104" s="103"/>
      <c r="F104" s="104">
        <f>+F101/F100</f>
        <v>1.01964285714286</v>
      </c>
      <c r="G104" s="104">
        <f t="shared" ref="G104:M104" si="56">+G101/G100</f>
        <v>0.806875</v>
      </c>
      <c r="H104" s="116">
        <f t="shared" si="56"/>
        <v>0.947678571428571</v>
      </c>
      <c r="I104" s="116">
        <f t="shared" si="56"/>
        <v>0.975</v>
      </c>
      <c r="J104" s="104">
        <f t="shared" si="56"/>
        <v>1.04519480519481</v>
      </c>
      <c r="K104" s="104">
        <f t="shared" si="56"/>
        <v>1.04347826086957</v>
      </c>
      <c r="L104" s="104">
        <f t="shared" si="56"/>
        <v>1.04347826086957</v>
      </c>
      <c r="M104" s="104">
        <f t="shared" si="56"/>
        <v>0.952380952380952</v>
      </c>
      <c r="N104" s="104" t="str">
        <f t="shared" ref="N104:AA104" si="57">IF(N101&gt;0,N101/N100,"")</f>
        <v/>
      </c>
      <c r="O104" s="105" t="str">
        <f t="shared" si="57"/>
        <v/>
      </c>
      <c r="P104" s="105" t="str">
        <f t="shared" si="57"/>
        <v/>
      </c>
      <c r="Q104" s="105">
        <f t="shared" si="57"/>
        <v>1.10238095238095</v>
      </c>
      <c r="R104" s="104" t="str">
        <f t="shared" si="57"/>
        <v/>
      </c>
      <c r="S104" s="104" t="str">
        <f t="shared" si="57"/>
        <v/>
      </c>
      <c r="T104" s="104" t="str">
        <f t="shared" si="57"/>
        <v/>
      </c>
      <c r="U104" s="104" t="str">
        <f t="shared" si="57"/>
        <v/>
      </c>
      <c r="V104" s="105" t="str">
        <f t="shared" si="57"/>
        <v/>
      </c>
      <c r="W104" s="105" t="str">
        <f t="shared" si="57"/>
        <v/>
      </c>
      <c r="X104" s="104" t="str">
        <f t="shared" si="57"/>
        <v/>
      </c>
      <c r="Y104" s="104" t="str">
        <f t="shared" si="57"/>
        <v/>
      </c>
      <c r="Z104" s="104" t="str">
        <f t="shared" si="57"/>
        <v/>
      </c>
      <c r="AA104" s="104" t="str">
        <f t="shared" si="57"/>
        <v/>
      </c>
      <c r="AB104" s="104">
        <f>+AB101/AB100</f>
        <v>0.996770186335404</v>
      </c>
      <c r="AC104" s="116"/>
      <c r="AD104" s="116"/>
      <c r="AE104" s="104"/>
      <c r="AF104" s="141"/>
      <c r="AG104" s="104"/>
      <c r="AH104" s="104"/>
      <c r="AI104" s="155"/>
      <c r="AJ104" s="156"/>
    </row>
    <row r="105" ht="18" customHeight="1" outlineLevel="1" spans="2:36">
      <c r="B105" s="160" t="s">
        <v>140</v>
      </c>
      <c r="C105" s="86" t="s">
        <v>185</v>
      </c>
      <c r="D105" s="87"/>
      <c r="E105" s="87"/>
      <c r="F105" s="88"/>
      <c r="G105" s="88"/>
      <c r="H105" s="113"/>
      <c r="I105" s="113"/>
      <c r="J105" s="88"/>
      <c r="K105" s="88"/>
      <c r="L105" s="117"/>
      <c r="M105" s="88"/>
      <c r="N105" s="88"/>
      <c r="O105" s="89"/>
      <c r="P105" s="89"/>
      <c r="Q105" s="89"/>
      <c r="R105" s="88"/>
      <c r="S105" s="88"/>
      <c r="T105" s="88"/>
      <c r="U105" s="88"/>
      <c r="V105" s="89"/>
      <c r="W105" s="126"/>
      <c r="X105" s="127">
        <v>2</v>
      </c>
      <c r="Y105" s="88">
        <v>2</v>
      </c>
      <c r="Z105" s="88">
        <v>2</v>
      </c>
      <c r="AA105" s="88">
        <v>2</v>
      </c>
      <c r="AB105" s="88">
        <v>2</v>
      </c>
      <c r="AC105" s="167">
        <v>3</v>
      </c>
      <c r="AD105" s="167">
        <v>3</v>
      </c>
      <c r="AE105" s="168">
        <v>4</v>
      </c>
      <c r="AF105" s="169">
        <v>4</v>
      </c>
      <c r="AG105" s="169">
        <v>5</v>
      </c>
      <c r="AH105" s="169">
        <v>5</v>
      </c>
      <c r="AI105" s="145"/>
      <c r="AJ105" s="158"/>
    </row>
    <row r="106" ht="18" customHeight="1" outlineLevel="1" spans="2:36">
      <c r="B106" s="161"/>
      <c r="C106" s="91" t="s">
        <v>186</v>
      </c>
      <c r="D106" s="92"/>
      <c r="E106" s="92"/>
      <c r="F106" s="93">
        <v>41</v>
      </c>
      <c r="G106" s="93">
        <v>41</v>
      </c>
      <c r="H106" s="94">
        <v>41</v>
      </c>
      <c r="I106" s="94">
        <v>41</v>
      </c>
      <c r="J106" s="93">
        <v>41</v>
      </c>
      <c r="K106" s="93">
        <v>41</v>
      </c>
      <c r="L106" s="93">
        <v>41</v>
      </c>
      <c r="M106" s="93">
        <v>41</v>
      </c>
      <c r="N106" s="93">
        <v>41</v>
      </c>
      <c r="O106" s="114">
        <v>41</v>
      </c>
      <c r="P106" s="114">
        <v>41</v>
      </c>
      <c r="Q106" s="114">
        <v>41</v>
      </c>
      <c r="R106" s="93">
        <v>41</v>
      </c>
      <c r="S106" s="93">
        <v>41</v>
      </c>
      <c r="T106" s="93">
        <v>41</v>
      </c>
      <c r="U106" s="93">
        <v>41</v>
      </c>
      <c r="V106" s="94">
        <v>46</v>
      </c>
      <c r="W106" s="96">
        <v>46</v>
      </c>
      <c r="X106" s="93">
        <v>42</v>
      </c>
      <c r="Y106" s="93">
        <v>42</v>
      </c>
      <c r="Z106" s="93">
        <v>42</v>
      </c>
      <c r="AA106" s="93">
        <v>42</v>
      </c>
      <c r="AB106" s="93">
        <v>42</v>
      </c>
      <c r="AC106" s="94">
        <v>42</v>
      </c>
      <c r="AD106" s="94">
        <v>42</v>
      </c>
      <c r="AE106" s="93">
        <v>42</v>
      </c>
      <c r="AF106" s="93">
        <v>42</v>
      </c>
      <c r="AG106" s="93">
        <v>42</v>
      </c>
      <c r="AH106" s="93">
        <v>42</v>
      </c>
      <c r="AI106" s="139">
        <v>42</v>
      </c>
      <c r="AJ106" s="154">
        <v>42</v>
      </c>
    </row>
    <row r="107" ht="18" customHeight="1" outlineLevel="1" spans="2:36">
      <c r="B107" s="161"/>
      <c r="C107" s="91" t="s">
        <v>187</v>
      </c>
      <c r="D107" s="92"/>
      <c r="E107" s="92"/>
      <c r="F107" s="93">
        <f>+F105*F106</f>
        <v>0</v>
      </c>
      <c r="G107" s="93">
        <f>+G105*G106</f>
        <v>0</v>
      </c>
      <c r="H107" s="94">
        <f>+H105*H106</f>
        <v>0</v>
      </c>
      <c r="I107" s="94">
        <f>+I105*I106</f>
        <v>0</v>
      </c>
      <c r="J107" s="93">
        <f>+J105*J106</f>
        <v>0</v>
      </c>
      <c r="K107" s="93">
        <f>K105*K106</f>
        <v>0</v>
      </c>
      <c r="L107" s="93">
        <f>L105*L106</f>
        <v>0</v>
      </c>
      <c r="M107" s="93">
        <f>M105*M106</f>
        <v>0</v>
      </c>
      <c r="N107" s="93">
        <v>0</v>
      </c>
      <c r="O107" s="114">
        <f t="shared" ref="O107:AJ107" si="58">O105*O106</f>
        <v>0</v>
      </c>
      <c r="P107" s="114">
        <f t="shared" si="58"/>
        <v>0</v>
      </c>
      <c r="Q107" s="114">
        <f t="shared" si="58"/>
        <v>0</v>
      </c>
      <c r="R107" s="93">
        <f t="shared" si="58"/>
        <v>0</v>
      </c>
      <c r="S107" s="93">
        <f t="shared" si="58"/>
        <v>0</v>
      </c>
      <c r="T107" s="93">
        <f t="shared" si="58"/>
        <v>0</v>
      </c>
      <c r="U107" s="93">
        <f t="shared" si="58"/>
        <v>0</v>
      </c>
      <c r="V107" s="94">
        <f t="shared" si="58"/>
        <v>0</v>
      </c>
      <c r="W107" s="96">
        <f t="shared" si="58"/>
        <v>0</v>
      </c>
      <c r="X107" s="93">
        <f t="shared" si="58"/>
        <v>84</v>
      </c>
      <c r="Y107" s="93">
        <f t="shared" si="58"/>
        <v>84</v>
      </c>
      <c r="Z107" s="93">
        <f t="shared" si="58"/>
        <v>84</v>
      </c>
      <c r="AA107" s="93">
        <f t="shared" si="58"/>
        <v>84</v>
      </c>
      <c r="AB107" s="93">
        <f t="shared" si="58"/>
        <v>84</v>
      </c>
      <c r="AC107" s="94">
        <f t="shared" si="58"/>
        <v>126</v>
      </c>
      <c r="AD107" s="94">
        <f t="shared" si="58"/>
        <v>126</v>
      </c>
      <c r="AE107" s="93">
        <f t="shared" si="58"/>
        <v>168</v>
      </c>
      <c r="AF107" s="93">
        <f t="shared" si="58"/>
        <v>168</v>
      </c>
      <c r="AG107" s="93">
        <f t="shared" si="58"/>
        <v>210</v>
      </c>
      <c r="AH107" s="93">
        <f t="shared" si="58"/>
        <v>210</v>
      </c>
      <c r="AI107" s="139">
        <f t="shared" si="58"/>
        <v>0</v>
      </c>
      <c r="AJ107" s="154">
        <f t="shared" si="58"/>
        <v>0</v>
      </c>
    </row>
    <row r="108" ht="18" customHeight="1" outlineLevel="1" spans="2:36">
      <c r="B108" s="161"/>
      <c r="C108" s="91" t="s">
        <v>188</v>
      </c>
      <c r="D108" s="92"/>
      <c r="E108" s="92"/>
      <c r="F108" s="93">
        <v>11.5</v>
      </c>
      <c r="G108" s="93">
        <v>11.5</v>
      </c>
      <c r="H108" s="94">
        <v>11.5</v>
      </c>
      <c r="I108" s="94">
        <v>8</v>
      </c>
      <c r="J108" s="93">
        <v>11.5</v>
      </c>
      <c r="K108" s="93">
        <v>11.5</v>
      </c>
      <c r="L108" s="95">
        <v>11.5</v>
      </c>
      <c r="M108" s="93">
        <v>11.5</v>
      </c>
      <c r="N108" s="93">
        <v>11.5</v>
      </c>
      <c r="O108" s="114">
        <v>11.5</v>
      </c>
      <c r="P108" s="114">
        <v>8</v>
      </c>
      <c r="Q108" s="114">
        <v>11.5</v>
      </c>
      <c r="R108" s="93">
        <v>11.5</v>
      </c>
      <c r="S108" s="93">
        <v>12</v>
      </c>
      <c r="T108" s="93">
        <v>11.5</v>
      </c>
      <c r="U108" s="93">
        <v>11.5</v>
      </c>
      <c r="V108" s="94">
        <v>8</v>
      </c>
      <c r="W108" s="96">
        <v>8</v>
      </c>
      <c r="X108" s="93">
        <v>11.5</v>
      </c>
      <c r="Y108" s="93">
        <v>11.5</v>
      </c>
      <c r="Z108" s="93">
        <v>11.5</v>
      </c>
      <c r="AA108" s="93">
        <v>11.5</v>
      </c>
      <c r="AB108" s="93">
        <v>10</v>
      </c>
      <c r="AC108" s="94">
        <v>11.5</v>
      </c>
      <c r="AD108" s="94">
        <v>11.5</v>
      </c>
      <c r="AE108" s="93">
        <v>11.5</v>
      </c>
      <c r="AF108" s="93">
        <v>11.5</v>
      </c>
      <c r="AG108" s="93">
        <v>11.5</v>
      </c>
      <c r="AH108" s="93">
        <v>11.5</v>
      </c>
      <c r="AI108" s="93">
        <v>11.5</v>
      </c>
      <c r="AJ108" s="154"/>
    </row>
    <row r="109" ht="18" customHeight="1" outlineLevel="1" spans="2:36">
      <c r="B109" s="161"/>
      <c r="C109" s="91" t="s">
        <v>189</v>
      </c>
      <c r="D109" s="92"/>
      <c r="E109" s="92"/>
      <c r="F109" s="93">
        <v>660</v>
      </c>
      <c r="G109" s="93">
        <v>660</v>
      </c>
      <c r="H109" s="94">
        <v>660</v>
      </c>
      <c r="I109" s="94">
        <v>660</v>
      </c>
      <c r="J109" s="93">
        <v>700</v>
      </c>
      <c r="K109" s="93">
        <v>700</v>
      </c>
      <c r="L109" s="95">
        <v>700</v>
      </c>
      <c r="M109" s="93">
        <v>700</v>
      </c>
      <c r="N109" s="93">
        <v>700</v>
      </c>
      <c r="O109" s="114">
        <v>700</v>
      </c>
      <c r="P109" s="114">
        <v>700</v>
      </c>
      <c r="Q109" s="114">
        <v>700</v>
      </c>
      <c r="R109" s="93">
        <v>700</v>
      </c>
      <c r="S109" s="93">
        <v>700</v>
      </c>
      <c r="T109" s="93">
        <v>700</v>
      </c>
      <c r="U109" s="93">
        <v>700</v>
      </c>
      <c r="V109" s="94">
        <v>660</v>
      </c>
      <c r="W109" s="96">
        <v>660</v>
      </c>
      <c r="X109" s="93">
        <v>700</v>
      </c>
      <c r="Y109" s="93">
        <v>700</v>
      </c>
      <c r="Z109" s="93">
        <v>700</v>
      </c>
      <c r="AA109" s="93">
        <v>700</v>
      </c>
      <c r="AB109" s="93">
        <v>700</v>
      </c>
      <c r="AC109" s="94">
        <v>700</v>
      </c>
      <c r="AD109" s="94">
        <v>700</v>
      </c>
      <c r="AE109" s="93">
        <v>650</v>
      </c>
      <c r="AF109" s="93">
        <v>650</v>
      </c>
      <c r="AG109" s="93">
        <v>650</v>
      </c>
      <c r="AH109" s="93">
        <v>650</v>
      </c>
      <c r="AI109" s="139">
        <v>650</v>
      </c>
      <c r="AJ109" s="154">
        <v>700</v>
      </c>
    </row>
    <row r="110" ht="18" customHeight="1" outlineLevel="1" spans="2:36">
      <c r="B110" s="161"/>
      <c r="C110" s="91" t="s">
        <v>190</v>
      </c>
      <c r="D110" s="92">
        <v>4800</v>
      </c>
      <c r="E110" s="92">
        <f>SUM(F110:AI110)</f>
        <v>250697.5</v>
      </c>
      <c r="F110" s="95">
        <f t="shared" ref="F110:M110" si="59">F105*F108*F109</f>
        <v>0</v>
      </c>
      <c r="G110" s="95">
        <f t="shared" si="59"/>
        <v>0</v>
      </c>
      <c r="H110" s="96">
        <f t="shared" si="59"/>
        <v>0</v>
      </c>
      <c r="I110" s="96">
        <f t="shared" si="59"/>
        <v>0</v>
      </c>
      <c r="J110" s="95">
        <f t="shared" si="59"/>
        <v>0</v>
      </c>
      <c r="K110" s="95">
        <f t="shared" si="59"/>
        <v>0</v>
      </c>
      <c r="L110" s="95">
        <f t="shared" si="59"/>
        <v>0</v>
      </c>
      <c r="M110" s="95">
        <f t="shared" si="59"/>
        <v>0</v>
      </c>
      <c r="N110" s="95">
        <v>0</v>
      </c>
      <c r="O110" s="115">
        <f t="shared" ref="O110:W110" si="60">O105*O108*O109</f>
        <v>0</v>
      </c>
      <c r="P110" s="115">
        <f t="shared" si="60"/>
        <v>0</v>
      </c>
      <c r="Q110" s="115">
        <f t="shared" si="60"/>
        <v>0</v>
      </c>
      <c r="R110" s="95">
        <f t="shared" si="60"/>
        <v>0</v>
      </c>
      <c r="S110" s="95">
        <f t="shared" si="60"/>
        <v>0</v>
      </c>
      <c r="T110" s="95">
        <f t="shared" si="60"/>
        <v>0</v>
      </c>
      <c r="U110" s="95">
        <f t="shared" si="60"/>
        <v>0</v>
      </c>
      <c r="V110" s="96">
        <f t="shared" si="60"/>
        <v>0</v>
      </c>
      <c r="W110" s="96">
        <f t="shared" si="60"/>
        <v>0</v>
      </c>
      <c r="X110" s="128">
        <f>X105*X108*X109*0.75</f>
        <v>12075</v>
      </c>
      <c r="Y110" s="128">
        <f>Y105*Y108*Y109*0.85</f>
        <v>13685</v>
      </c>
      <c r="Z110" s="128">
        <f>Z105*Z108*Z109*0.95</f>
        <v>15295</v>
      </c>
      <c r="AA110" s="128">
        <f t="shared" ref="AA110:AJ110" si="61">AA105*AA108*AA109</f>
        <v>16100</v>
      </c>
      <c r="AB110" s="128">
        <f>AB105*AB108*AB109*0.85</f>
        <v>11900</v>
      </c>
      <c r="AC110" s="123">
        <f>AC105*AC108*AC109*0.95</f>
        <v>22942.5</v>
      </c>
      <c r="AD110" s="96">
        <f t="shared" si="61"/>
        <v>24150</v>
      </c>
      <c r="AE110" s="95">
        <f t="shared" si="61"/>
        <v>29900</v>
      </c>
      <c r="AF110" s="95">
        <f t="shared" si="61"/>
        <v>29900</v>
      </c>
      <c r="AG110" s="95">
        <f t="shared" si="61"/>
        <v>37375</v>
      </c>
      <c r="AH110" s="95">
        <f t="shared" si="61"/>
        <v>37375</v>
      </c>
      <c r="AI110" s="139">
        <f t="shared" si="61"/>
        <v>0</v>
      </c>
      <c r="AJ110" s="154">
        <f t="shared" si="61"/>
        <v>0</v>
      </c>
    </row>
    <row r="111" ht="18" customHeight="1" outlineLevel="1" spans="2:36">
      <c r="B111" s="162"/>
      <c r="C111" s="91" t="s">
        <v>191</v>
      </c>
      <c r="D111" s="92"/>
      <c r="E111" s="108">
        <f>SUM(F111:AJ111)</f>
        <v>180647</v>
      </c>
      <c r="F111" s="98"/>
      <c r="G111" s="99"/>
      <c r="H111" s="100"/>
      <c r="I111" s="100"/>
      <c r="J111" s="99"/>
      <c r="K111" s="99"/>
      <c r="L111" s="95"/>
      <c r="M111" s="95"/>
      <c r="N111" s="95"/>
      <c r="O111" s="115"/>
      <c r="P111" s="115"/>
      <c r="Q111" s="115"/>
      <c r="R111" s="95"/>
      <c r="S111" s="95"/>
      <c r="T111" s="95"/>
      <c r="U111" s="95"/>
      <c r="V111" s="96"/>
      <c r="W111" s="96"/>
      <c r="X111" s="166">
        <v>9160</v>
      </c>
      <c r="Y111" s="170">
        <v>11512</v>
      </c>
      <c r="Z111" s="166">
        <v>13880</v>
      </c>
      <c r="AA111" s="166">
        <v>15338</v>
      </c>
      <c r="AB111" s="166">
        <v>9660</v>
      </c>
      <c r="AC111" s="166">
        <v>19698</v>
      </c>
      <c r="AD111" s="96">
        <v>21646</v>
      </c>
      <c r="AE111" s="95">
        <v>18482</v>
      </c>
      <c r="AF111" s="95">
        <v>23418</v>
      </c>
      <c r="AG111" s="95">
        <v>28050</v>
      </c>
      <c r="AH111" s="95">
        <v>9300</v>
      </c>
      <c r="AI111" s="139">
        <v>503</v>
      </c>
      <c r="AJ111" s="154"/>
    </row>
    <row r="112" ht="18" customHeight="1" outlineLevel="1" spans="2:36">
      <c r="B112" s="161"/>
      <c r="C112" s="91" t="s">
        <v>192</v>
      </c>
      <c r="D112" s="92"/>
      <c r="E112" s="92"/>
      <c r="F112" s="95">
        <f t="shared" ref="F112:AJ112" si="62">F111-F110</f>
        <v>0</v>
      </c>
      <c r="G112" s="95">
        <f t="shared" si="62"/>
        <v>0</v>
      </c>
      <c r="H112" s="96">
        <f t="shared" si="62"/>
        <v>0</v>
      </c>
      <c r="I112" s="96">
        <f t="shared" si="62"/>
        <v>0</v>
      </c>
      <c r="J112" s="95">
        <f t="shared" si="62"/>
        <v>0</v>
      </c>
      <c r="K112" s="95">
        <f t="shared" si="62"/>
        <v>0</v>
      </c>
      <c r="L112" s="95">
        <f t="shared" si="62"/>
        <v>0</v>
      </c>
      <c r="M112" s="95">
        <f t="shared" si="62"/>
        <v>0</v>
      </c>
      <c r="N112" s="95">
        <v>0</v>
      </c>
      <c r="O112" s="115">
        <f t="shared" si="62"/>
        <v>0</v>
      </c>
      <c r="P112" s="115">
        <f t="shared" si="62"/>
        <v>0</v>
      </c>
      <c r="Q112" s="115">
        <f t="shared" si="62"/>
        <v>0</v>
      </c>
      <c r="R112" s="95">
        <f t="shared" si="62"/>
        <v>0</v>
      </c>
      <c r="S112" s="95">
        <f t="shared" si="62"/>
        <v>0</v>
      </c>
      <c r="T112" s="95">
        <f t="shared" si="62"/>
        <v>0</v>
      </c>
      <c r="U112" s="95">
        <f t="shared" si="62"/>
        <v>0</v>
      </c>
      <c r="V112" s="96">
        <f t="shared" si="62"/>
        <v>0</v>
      </c>
      <c r="W112" s="123">
        <f t="shared" si="62"/>
        <v>0</v>
      </c>
      <c r="X112" s="128">
        <f t="shared" si="62"/>
        <v>-2915</v>
      </c>
      <c r="Y112" s="128">
        <f t="shared" si="62"/>
        <v>-2173</v>
      </c>
      <c r="Z112" s="128">
        <f t="shared" si="62"/>
        <v>-1415</v>
      </c>
      <c r="AA112" s="128">
        <f t="shared" si="62"/>
        <v>-762</v>
      </c>
      <c r="AB112" s="128">
        <f t="shared" si="62"/>
        <v>-2240</v>
      </c>
      <c r="AC112" s="96">
        <f t="shared" si="62"/>
        <v>-3244.5</v>
      </c>
      <c r="AD112" s="96">
        <f t="shared" si="62"/>
        <v>-2504</v>
      </c>
      <c r="AE112" s="95">
        <f t="shared" si="62"/>
        <v>-11418</v>
      </c>
      <c r="AF112" s="95">
        <f t="shared" si="62"/>
        <v>-6482</v>
      </c>
      <c r="AG112" s="95">
        <f t="shared" si="62"/>
        <v>-9325</v>
      </c>
      <c r="AH112" s="95">
        <f t="shared" si="62"/>
        <v>-28075</v>
      </c>
      <c r="AI112" s="139">
        <f t="shared" si="62"/>
        <v>503</v>
      </c>
      <c r="AJ112" s="154">
        <f t="shared" si="62"/>
        <v>0</v>
      </c>
    </row>
    <row r="113" ht="18" customHeight="1" outlineLevel="1" spans="2:36">
      <c r="B113" s="161"/>
      <c r="C113" s="91" t="s">
        <v>193</v>
      </c>
      <c r="D113" s="92"/>
      <c r="E113" s="92"/>
      <c r="F113" s="95">
        <f t="shared" ref="F113:AJ113" si="63">E113+F111</f>
        <v>0</v>
      </c>
      <c r="G113" s="95">
        <f t="shared" si="63"/>
        <v>0</v>
      </c>
      <c r="H113" s="96">
        <f t="shared" si="63"/>
        <v>0</v>
      </c>
      <c r="I113" s="96">
        <f t="shared" si="63"/>
        <v>0</v>
      </c>
      <c r="J113" s="95">
        <f t="shared" si="63"/>
        <v>0</v>
      </c>
      <c r="K113" s="95">
        <f t="shared" si="63"/>
        <v>0</v>
      </c>
      <c r="L113" s="95">
        <f t="shared" si="63"/>
        <v>0</v>
      </c>
      <c r="M113" s="95">
        <f t="shared" si="63"/>
        <v>0</v>
      </c>
      <c r="N113" s="95">
        <v>0</v>
      </c>
      <c r="O113" s="115">
        <f t="shared" si="63"/>
        <v>0</v>
      </c>
      <c r="P113" s="115">
        <f t="shared" si="63"/>
        <v>0</v>
      </c>
      <c r="Q113" s="115">
        <f t="shared" si="63"/>
        <v>0</v>
      </c>
      <c r="R113" s="95">
        <f t="shared" si="63"/>
        <v>0</v>
      </c>
      <c r="S113" s="95">
        <f t="shared" si="63"/>
        <v>0</v>
      </c>
      <c r="T113" s="95">
        <f t="shared" si="63"/>
        <v>0</v>
      </c>
      <c r="U113" s="95">
        <f t="shared" si="63"/>
        <v>0</v>
      </c>
      <c r="V113" s="96">
        <f t="shared" si="63"/>
        <v>0</v>
      </c>
      <c r="W113" s="123">
        <f t="shared" si="63"/>
        <v>0</v>
      </c>
      <c r="X113" s="128">
        <f t="shared" si="63"/>
        <v>9160</v>
      </c>
      <c r="Y113" s="128">
        <f t="shared" si="63"/>
        <v>20672</v>
      </c>
      <c r="Z113" s="128">
        <f t="shared" si="63"/>
        <v>34552</v>
      </c>
      <c r="AA113" s="128">
        <f t="shared" si="63"/>
        <v>49890</v>
      </c>
      <c r="AB113" s="128">
        <f t="shared" si="63"/>
        <v>59550</v>
      </c>
      <c r="AC113" s="96">
        <f t="shared" si="63"/>
        <v>79248</v>
      </c>
      <c r="AD113" s="96">
        <f t="shared" si="63"/>
        <v>100894</v>
      </c>
      <c r="AE113" s="95">
        <f t="shared" si="63"/>
        <v>119376</v>
      </c>
      <c r="AF113" s="95">
        <f t="shared" si="63"/>
        <v>142794</v>
      </c>
      <c r="AG113" s="95">
        <f t="shared" si="63"/>
        <v>170844</v>
      </c>
      <c r="AH113" s="95">
        <f t="shared" si="63"/>
        <v>180144</v>
      </c>
      <c r="AI113" s="139">
        <f t="shared" si="63"/>
        <v>180647</v>
      </c>
      <c r="AJ113" s="154">
        <f t="shared" si="63"/>
        <v>180647</v>
      </c>
    </row>
    <row r="114" ht="18" customHeight="1" spans="2:36">
      <c r="B114" s="164"/>
      <c r="C114" s="102" t="s">
        <v>194</v>
      </c>
      <c r="D114" s="103"/>
      <c r="E114" s="103"/>
      <c r="F114" s="104" t="str">
        <f t="shared" ref="F114:AJ114" si="64">IF(F111&gt;0,F111/F110,"")</f>
        <v/>
      </c>
      <c r="G114" s="104" t="str">
        <f t="shared" si="64"/>
        <v/>
      </c>
      <c r="H114" s="105" t="str">
        <f t="shared" si="64"/>
        <v/>
      </c>
      <c r="I114" s="105" t="str">
        <f t="shared" si="64"/>
        <v/>
      </c>
      <c r="J114" s="104" t="str">
        <f t="shared" si="64"/>
        <v/>
      </c>
      <c r="K114" s="104" t="str">
        <f t="shared" si="64"/>
        <v/>
      </c>
      <c r="L114" s="124" t="str">
        <f t="shared" si="64"/>
        <v/>
      </c>
      <c r="M114" s="104" t="str">
        <f t="shared" si="64"/>
        <v/>
      </c>
      <c r="N114" s="104" t="s">
        <v>195</v>
      </c>
      <c r="O114" s="116" t="str">
        <f t="shared" si="64"/>
        <v/>
      </c>
      <c r="P114" s="116" t="str">
        <f t="shared" si="64"/>
        <v/>
      </c>
      <c r="Q114" s="116" t="str">
        <f t="shared" si="64"/>
        <v/>
      </c>
      <c r="R114" s="104" t="str">
        <f t="shared" si="64"/>
        <v/>
      </c>
      <c r="S114" s="104" t="str">
        <f t="shared" si="64"/>
        <v/>
      </c>
      <c r="T114" s="104" t="str">
        <f t="shared" si="64"/>
        <v/>
      </c>
      <c r="U114" s="104" t="str">
        <f t="shared" si="64"/>
        <v/>
      </c>
      <c r="V114" s="105" t="str">
        <f t="shared" si="64"/>
        <v/>
      </c>
      <c r="W114" s="105" t="str">
        <f t="shared" si="64"/>
        <v/>
      </c>
      <c r="X114" s="104">
        <f t="shared" si="64"/>
        <v>0.758592132505176</v>
      </c>
      <c r="Y114" s="104">
        <f t="shared" si="64"/>
        <v>0.841213006941907</v>
      </c>
      <c r="Z114" s="142">
        <f t="shared" si="64"/>
        <v>0.907486106570775</v>
      </c>
      <c r="AA114" s="104">
        <f t="shared" si="64"/>
        <v>0.952670807453416</v>
      </c>
      <c r="AB114" s="104">
        <f t="shared" si="64"/>
        <v>0.811764705882353</v>
      </c>
      <c r="AC114" s="105">
        <f t="shared" si="64"/>
        <v>0.858581235697941</v>
      </c>
      <c r="AD114" s="105">
        <f t="shared" si="64"/>
        <v>0.896314699792961</v>
      </c>
      <c r="AE114" s="104">
        <f t="shared" si="64"/>
        <v>0.618127090301003</v>
      </c>
      <c r="AF114" s="104">
        <f t="shared" si="64"/>
        <v>0.783210702341137</v>
      </c>
      <c r="AG114" s="104">
        <f t="shared" si="64"/>
        <v>0.750501672240803</v>
      </c>
      <c r="AH114" s="104">
        <f t="shared" si="64"/>
        <v>0.248829431438127</v>
      </c>
      <c r="AI114" s="155" t="e">
        <f t="shared" si="64"/>
        <v>#DIV/0!</v>
      </c>
      <c r="AJ114" s="156" t="str">
        <f t="shared" si="64"/>
        <v/>
      </c>
    </row>
    <row r="115" ht="18" customHeight="1" outlineLevel="1" spans="2:36">
      <c r="B115" s="160" t="s">
        <v>153</v>
      </c>
      <c r="C115" s="86" t="s">
        <v>185</v>
      </c>
      <c r="D115" s="87"/>
      <c r="E115" s="87"/>
      <c r="F115" s="88">
        <v>1</v>
      </c>
      <c r="G115" s="88">
        <v>1</v>
      </c>
      <c r="H115" s="89">
        <v>1</v>
      </c>
      <c r="I115" s="89"/>
      <c r="J115" s="88"/>
      <c r="K115" s="88"/>
      <c r="L115" s="88"/>
      <c r="M115" s="88"/>
      <c r="N115" s="88"/>
      <c r="O115" s="113"/>
      <c r="P115" s="113"/>
      <c r="Q115" s="113"/>
      <c r="R115" s="88"/>
      <c r="S115" s="88"/>
      <c r="T115" s="88"/>
      <c r="U115" s="88"/>
      <c r="V115" s="89"/>
      <c r="W115" s="126"/>
      <c r="X115" s="127"/>
      <c r="Y115" s="127"/>
      <c r="Z115" s="127"/>
      <c r="AA115" s="127"/>
      <c r="AB115" s="88"/>
      <c r="AC115" s="89"/>
      <c r="AD115" s="126"/>
      <c r="AE115" s="127"/>
      <c r="AF115" s="127"/>
      <c r="AG115" s="127"/>
      <c r="AH115" s="127"/>
      <c r="AI115" s="157"/>
      <c r="AJ115" s="158"/>
    </row>
    <row r="116" ht="18" customHeight="1" outlineLevel="1" spans="2:36">
      <c r="B116" s="161"/>
      <c r="C116" s="91" t="s">
        <v>186</v>
      </c>
      <c r="D116" s="92"/>
      <c r="E116" s="92"/>
      <c r="F116" s="93">
        <v>35</v>
      </c>
      <c r="G116" s="93">
        <v>35</v>
      </c>
      <c r="H116" s="94">
        <v>35</v>
      </c>
      <c r="I116" s="94">
        <v>37</v>
      </c>
      <c r="J116" s="93">
        <v>37</v>
      </c>
      <c r="K116" s="93">
        <v>37</v>
      </c>
      <c r="L116" s="93">
        <v>37</v>
      </c>
      <c r="M116" s="93">
        <v>37</v>
      </c>
      <c r="N116" s="93">
        <v>37</v>
      </c>
      <c r="O116" s="114">
        <v>37</v>
      </c>
      <c r="P116" s="114">
        <v>37</v>
      </c>
      <c r="Q116" s="114">
        <v>37</v>
      </c>
      <c r="R116" s="93">
        <v>37</v>
      </c>
      <c r="S116" s="93">
        <v>37</v>
      </c>
      <c r="T116" s="93">
        <v>37</v>
      </c>
      <c r="U116" s="93">
        <v>37</v>
      </c>
      <c r="V116" s="94">
        <v>37</v>
      </c>
      <c r="W116" s="96">
        <v>37</v>
      </c>
      <c r="X116" s="93">
        <v>37</v>
      </c>
      <c r="Y116" s="93">
        <v>37</v>
      </c>
      <c r="Z116" s="93">
        <v>37</v>
      </c>
      <c r="AA116" s="93">
        <v>37</v>
      </c>
      <c r="AB116" s="93">
        <v>37</v>
      </c>
      <c r="AC116" s="94"/>
      <c r="AD116" s="94">
        <v>37</v>
      </c>
      <c r="AE116" s="93">
        <v>37</v>
      </c>
      <c r="AF116" s="93">
        <v>37</v>
      </c>
      <c r="AG116" s="93">
        <v>37</v>
      </c>
      <c r="AH116" s="93">
        <v>37</v>
      </c>
      <c r="AI116" s="139">
        <v>37</v>
      </c>
      <c r="AJ116" s="154">
        <v>38</v>
      </c>
    </row>
    <row r="117" ht="18" customHeight="1" outlineLevel="1" spans="2:36">
      <c r="B117" s="161"/>
      <c r="C117" s="91" t="s">
        <v>187</v>
      </c>
      <c r="D117" s="92"/>
      <c r="E117" s="92"/>
      <c r="F117" s="93">
        <v>35</v>
      </c>
      <c r="G117" s="93">
        <v>35</v>
      </c>
      <c r="H117" s="94">
        <v>35</v>
      </c>
      <c r="I117" s="94">
        <v>0</v>
      </c>
      <c r="J117" s="93">
        <v>0</v>
      </c>
      <c r="K117" s="93">
        <v>0</v>
      </c>
      <c r="L117" s="93">
        <v>0</v>
      </c>
      <c r="M117" s="93">
        <v>0</v>
      </c>
      <c r="N117" s="93">
        <v>0</v>
      </c>
      <c r="O117" s="114">
        <v>0</v>
      </c>
      <c r="P117" s="114">
        <v>0</v>
      </c>
      <c r="Q117" s="114">
        <v>0</v>
      </c>
      <c r="R117" s="93">
        <v>0</v>
      </c>
      <c r="S117" s="93">
        <v>0</v>
      </c>
      <c r="T117" s="93">
        <v>0</v>
      </c>
      <c r="U117" s="93">
        <v>0</v>
      </c>
      <c r="V117" s="94">
        <v>0</v>
      </c>
      <c r="W117" s="96">
        <v>0</v>
      </c>
      <c r="X117" s="93">
        <v>0</v>
      </c>
      <c r="Y117" s="93">
        <v>0</v>
      </c>
      <c r="Z117" s="93">
        <v>0</v>
      </c>
      <c r="AA117" s="93">
        <v>0</v>
      </c>
      <c r="AB117" s="93">
        <v>0</v>
      </c>
      <c r="AC117" s="94"/>
      <c r="AD117" s="94">
        <v>0</v>
      </c>
      <c r="AE117" s="93">
        <v>0</v>
      </c>
      <c r="AF117" s="93">
        <v>0</v>
      </c>
      <c r="AG117" s="93">
        <v>0</v>
      </c>
      <c r="AH117" s="93">
        <v>0</v>
      </c>
      <c r="AI117" s="139">
        <v>0</v>
      </c>
      <c r="AJ117" s="154">
        <v>0</v>
      </c>
    </row>
    <row r="118" ht="18" customHeight="1" outlineLevel="1" spans="2:36">
      <c r="B118" s="161"/>
      <c r="C118" s="91" t="s">
        <v>188</v>
      </c>
      <c r="D118" s="92"/>
      <c r="E118" s="92"/>
      <c r="F118" s="93">
        <v>2</v>
      </c>
      <c r="G118" s="93">
        <v>11.5</v>
      </c>
      <c r="H118" s="94">
        <v>5</v>
      </c>
      <c r="I118" s="94"/>
      <c r="J118" s="93">
        <v>1</v>
      </c>
      <c r="K118" s="93"/>
      <c r="L118" s="93"/>
      <c r="M118" s="93"/>
      <c r="N118" s="93"/>
      <c r="O118" s="114"/>
      <c r="P118" s="114"/>
      <c r="Q118" s="114"/>
      <c r="R118" s="93"/>
      <c r="S118" s="93"/>
      <c r="T118" s="93"/>
      <c r="U118" s="93"/>
      <c r="V118" s="94"/>
      <c r="W118" s="96"/>
      <c r="X118" s="93"/>
      <c r="Y118" s="93"/>
      <c r="Z118" s="93"/>
      <c r="AA118" s="93"/>
      <c r="AB118" s="93"/>
      <c r="AC118" s="94"/>
      <c r="AD118" s="94"/>
      <c r="AE118" s="93"/>
      <c r="AF118" s="93"/>
      <c r="AG118" s="93"/>
      <c r="AH118" s="93"/>
      <c r="AI118" s="139"/>
      <c r="AJ118" s="154"/>
    </row>
    <row r="119" ht="18" customHeight="1" outlineLevel="1" spans="2:36">
      <c r="B119" s="161"/>
      <c r="C119" s="91" t="s">
        <v>189</v>
      </c>
      <c r="D119" s="92"/>
      <c r="E119" s="92"/>
      <c r="F119" s="93">
        <v>720</v>
      </c>
      <c r="G119" s="93">
        <v>720</v>
      </c>
      <c r="H119" s="94">
        <v>720</v>
      </c>
      <c r="I119" s="94">
        <v>680</v>
      </c>
      <c r="J119" s="93">
        <v>680</v>
      </c>
      <c r="K119" s="93">
        <v>680</v>
      </c>
      <c r="L119" s="93">
        <v>680</v>
      </c>
      <c r="M119" s="93">
        <v>680</v>
      </c>
      <c r="N119" s="93">
        <v>680</v>
      </c>
      <c r="O119" s="114">
        <v>680</v>
      </c>
      <c r="P119" s="114">
        <v>680</v>
      </c>
      <c r="Q119" s="114">
        <v>680</v>
      </c>
      <c r="R119" s="93">
        <v>680</v>
      </c>
      <c r="S119" s="93">
        <v>680</v>
      </c>
      <c r="T119" s="93">
        <v>680</v>
      </c>
      <c r="U119" s="93">
        <v>680</v>
      </c>
      <c r="V119" s="94">
        <v>680</v>
      </c>
      <c r="W119" s="96">
        <v>680</v>
      </c>
      <c r="X119" s="93">
        <v>680</v>
      </c>
      <c r="Y119" s="93">
        <v>680</v>
      </c>
      <c r="Z119" s="93">
        <v>680</v>
      </c>
      <c r="AA119" s="93">
        <v>680</v>
      </c>
      <c r="AB119" s="93">
        <v>680</v>
      </c>
      <c r="AC119" s="94"/>
      <c r="AD119" s="94">
        <v>680</v>
      </c>
      <c r="AE119" s="93">
        <v>680</v>
      </c>
      <c r="AF119" s="93">
        <v>680</v>
      </c>
      <c r="AG119" s="93">
        <v>680</v>
      </c>
      <c r="AH119" s="93">
        <v>680</v>
      </c>
      <c r="AI119" s="139">
        <v>680</v>
      </c>
      <c r="AJ119" s="154">
        <v>681</v>
      </c>
    </row>
    <row r="120" ht="18" customHeight="1" outlineLevel="1" spans="2:36">
      <c r="B120" s="161"/>
      <c r="C120" s="91" t="s">
        <v>190</v>
      </c>
      <c r="D120" s="92">
        <v>0</v>
      </c>
      <c r="E120" s="92">
        <f>SUM(F120:AJ120)</f>
        <v>11610</v>
      </c>
      <c r="F120" s="95">
        <f>+F115*F118*F119*0.8</f>
        <v>1152</v>
      </c>
      <c r="G120" s="95">
        <v>7038</v>
      </c>
      <c r="H120" s="96">
        <v>3420</v>
      </c>
      <c r="I120" s="96">
        <v>0</v>
      </c>
      <c r="J120" s="95">
        <v>0</v>
      </c>
      <c r="K120" s="95">
        <v>0</v>
      </c>
      <c r="L120" s="95">
        <v>0</v>
      </c>
      <c r="M120" s="95">
        <v>0</v>
      </c>
      <c r="N120" s="95">
        <v>0</v>
      </c>
      <c r="O120" s="115">
        <v>0</v>
      </c>
      <c r="P120" s="115">
        <v>0</v>
      </c>
      <c r="Q120" s="115">
        <v>0</v>
      </c>
      <c r="R120" s="95">
        <v>0</v>
      </c>
      <c r="S120" s="95">
        <v>0</v>
      </c>
      <c r="T120" s="95">
        <v>0</v>
      </c>
      <c r="U120" s="95">
        <v>0</v>
      </c>
      <c r="V120" s="96">
        <v>0</v>
      </c>
      <c r="W120" s="96">
        <v>0</v>
      </c>
      <c r="X120" s="95">
        <v>0</v>
      </c>
      <c r="Y120" s="95">
        <v>0</v>
      </c>
      <c r="Z120" s="95">
        <v>0</v>
      </c>
      <c r="AA120" s="95">
        <v>0</v>
      </c>
      <c r="AB120" s="95">
        <v>0</v>
      </c>
      <c r="AC120" s="96">
        <v>0</v>
      </c>
      <c r="AD120" s="96">
        <v>0</v>
      </c>
      <c r="AE120" s="95">
        <v>0</v>
      </c>
      <c r="AF120" s="95">
        <v>0</v>
      </c>
      <c r="AG120" s="95">
        <v>0</v>
      </c>
      <c r="AH120" s="95">
        <v>0</v>
      </c>
      <c r="AI120" s="139">
        <v>0</v>
      </c>
      <c r="AJ120" s="154">
        <v>0</v>
      </c>
    </row>
    <row r="121" ht="18" customHeight="1" outlineLevel="1" spans="2:36">
      <c r="B121" s="162"/>
      <c r="C121" s="91" t="s">
        <v>191</v>
      </c>
      <c r="D121" s="92"/>
      <c r="E121" s="108">
        <f>SUM(F121:AJ121)</f>
        <v>11850</v>
      </c>
      <c r="F121" s="98">
        <v>850</v>
      </c>
      <c r="G121" s="99">
        <v>7344</v>
      </c>
      <c r="H121" s="100">
        <v>3656</v>
      </c>
      <c r="I121" s="100"/>
      <c r="J121" s="99"/>
      <c r="K121" s="99"/>
      <c r="L121" s="95"/>
      <c r="M121" s="95"/>
      <c r="N121" s="95"/>
      <c r="O121" s="115"/>
      <c r="P121" s="115"/>
      <c r="Q121" s="115"/>
      <c r="R121" s="95"/>
      <c r="S121" s="95"/>
      <c r="T121" s="95"/>
      <c r="U121" s="95"/>
      <c r="V121" s="96"/>
      <c r="W121" s="96"/>
      <c r="X121" s="95"/>
      <c r="Y121" s="128"/>
      <c r="Z121" s="95"/>
      <c r="AA121" s="95"/>
      <c r="AB121" s="95"/>
      <c r="AC121" s="96"/>
      <c r="AD121" s="96"/>
      <c r="AE121" s="95"/>
      <c r="AF121" s="95"/>
      <c r="AG121" s="95"/>
      <c r="AH121" s="95"/>
      <c r="AI121" s="139"/>
      <c r="AJ121" s="154"/>
    </row>
    <row r="122" ht="18" customHeight="1" outlineLevel="1" spans="2:36">
      <c r="B122" s="161"/>
      <c r="C122" s="91" t="s">
        <v>192</v>
      </c>
      <c r="D122" s="92"/>
      <c r="E122" s="92"/>
      <c r="F122" s="95">
        <v>310</v>
      </c>
      <c r="G122" s="95">
        <v>306</v>
      </c>
      <c r="H122" s="96">
        <v>236</v>
      </c>
      <c r="I122" s="96">
        <v>0</v>
      </c>
      <c r="J122" s="95">
        <v>0</v>
      </c>
      <c r="K122" s="95">
        <v>0</v>
      </c>
      <c r="L122" s="95">
        <v>0</v>
      </c>
      <c r="M122" s="95">
        <v>0</v>
      </c>
      <c r="N122" s="95">
        <v>0</v>
      </c>
      <c r="O122" s="115">
        <v>0</v>
      </c>
      <c r="P122" s="115">
        <v>0</v>
      </c>
      <c r="Q122" s="115">
        <v>0</v>
      </c>
      <c r="R122" s="95">
        <v>0</v>
      </c>
      <c r="S122" s="95">
        <v>0</v>
      </c>
      <c r="T122" s="95">
        <v>0</v>
      </c>
      <c r="U122" s="95">
        <v>0</v>
      </c>
      <c r="V122" s="96">
        <v>0</v>
      </c>
      <c r="W122" s="123">
        <v>0</v>
      </c>
      <c r="X122" s="128">
        <v>0</v>
      </c>
      <c r="Y122" s="128">
        <v>0</v>
      </c>
      <c r="Z122" s="128">
        <v>0</v>
      </c>
      <c r="AA122" s="128">
        <v>0</v>
      </c>
      <c r="AB122" s="128">
        <v>0</v>
      </c>
      <c r="AC122" s="96">
        <v>0</v>
      </c>
      <c r="AD122" s="96">
        <v>0</v>
      </c>
      <c r="AE122" s="95">
        <v>0</v>
      </c>
      <c r="AF122" s="95">
        <v>0</v>
      </c>
      <c r="AG122" s="95">
        <v>0</v>
      </c>
      <c r="AH122" s="95">
        <v>0</v>
      </c>
      <c r="AI122" s="139">
        <v>0</v>
      </c>
      <c r="AJ122" s="154">
        <v>0</v>
      </c>
    </row>
    <row r="123" ht="18" customHeight="1" outlineLevel="1" spans="2:36">
      <c r="B123" s="161"/>
      <c r="C123" s="91" t="s">
        <v>193</v>
      </c>
      <c r="D123" s="92"/>
      <c r="E123" s="92"/>
      <c r="F123" s="95">
        <f>+F121+E123</f>
        <v>850</v>
      </c>
      <c r="G123" s="95">
        <f t="shared" ref="G123:AI123" si="65">+G121+F123</f>
        <v>8194</v>
      </c>
      <c r="H123" s="96">
        <f t="shared" si="65"/>
        <v>11850</v>
      </c>
      <c r="I123" s="96">
        <f t="shared" si="65"/>
        <v>11850</v>
      </c>
      <c r="J123" s="95">
        <f t="shared" si="65"/>
        <v>11850</v>
      </c>
      <c r="K123" s="95">
        <f t="shared" si="65"/>
        <v>11850</v>
      </c>
      <c r="L123" s="95">
        <f t="shared" si="65"/>
        <v>11850</v>
      </c>
      <c r="M123" s="95">
        <f t="shared" si="65"/>
        <v>11850</v>
      </c>
      <c r="N123" s="95">
        <f t="shared" si="65"/>
        <v>11850</v>
      </c>
      <c r="O123" s="115">
        <f t="shared" si="65"/>
        <v>11850</v>
      </c>
      <c r="P123" s="115">
        <f t="shared" si="65"/>
        <v>11850</v>
      </c>
      <c r="Q123" s="115">
        <f t="shared" si="65"/>
        <v>11850</v>
      </c>
      <c r="R123" s="95">
        <f t="shared" si="65"/>
        <v>11850</v>
      </c>
      <c r="S123" s="95">
        <f t="shared" si="65"/>
        <v>11850</v>
      </c>
      <c r="T123" s="95">
        <f t="shared" si="65"/>
        <v>11850</v>
      </c>
      <c r="U123" s="95">
        <f t="shared" si="65"/>
        <v>11850</v>
      </c>
      <c r="V123" s="96">
        <f t="shared" si="65"/>
        <v>11850</v>
      </c>
      <c r="W123" s="96">
        <f t="shared" si="65"/>
        <v>11850</v>
      </c>
      <c r="X123" s="95">
        <f t="shared" si="65"/>
        <v>11850</v>
      </c>
      <c r="Y123" s="95">
        <f t="shared" si="65"/>
        <v>11850</v>
      </c>
      <c r="Z123" s="95">
        <f t="shared" si="65"/>
        <v>11850</v>
      </c>
      <c r="AA123" s="95">
        <f t="shared" si="65"/>
        <v>11850</v>
      </c>
      <c r="AB123" s="95">
        <f t="shared" si="65"/>
        <v>11850</v>
      </c>
      <c r="AC123" s="96">
        <f t="shared" si="65"/>
        <v>11850</v>
      </c>
      <c r="AD123" s="96">
        <f t="shared" si="65"/>
        <v>11850</v>
      </c>
      <c r="AE123" s="95">
        <f t="shared" si="65"/>
        <v>11850</v>
      </c>
      <c r="AF123" s="95">
        <f t="shared" si="65"/>
        <v>11850</v>
      </c>
      <c r="AG123" s="95">
        <f t="shared" si="65"/>
        <v>11850</v>
      </c>
      <c r="AH123" s="95">
        <f t="shared" si="65"/>
        <v>11850</v>
      </c>
      <c r="AI123" s="95">
        <f t="shared" si="65"/>
        <v>11850</v>
      </c>
      <c r="AJ123" s="154">
        <v>11850</v>
      </c>
    </row>
    <row r="124" ht="18" customHeight="1" spans="2:36">
      <c r="B124" s="161"/>
      <c r="C124" s="102" t="s">
        <v>194</v>
      </c>
      <c r="D124" s="103"/>
      <c r="E124" s="103"/>
      <c r="F124" s="104">
        <f>+F121/F120</f>
        <v>0.737847222222222</v>
      </c>
      <c r="G124" s="104">
        <f>+G121/G120</f>
        <v>1.04347826086957</v>
      </c>
      <c r="H124" s="105">
        <f>+H121/H120</f>
        <v>1.06900584795322</v>
      </c>
      <c r="I124" s="105"/>
      <c r="J124" s="104"/>
      <c r="K124" s="104"/>
      <c r="L124" s="104"/>
      <c r="M124" s="104"/>
      <c r="N124" s="104"/>
      <c r="O124" s="116"/>
      <c r="P124" s="116"/>
      <c r="Q124" s="116"/>
      <c r="R124" s="104"/>
      <c r="S124" s="104"/>
      <c r="T124" s="104"/>
      <c r="U124" s="104"/>
      <c r="V124" s="105"/>
      <c r="W124" s="105"/>
      <c r="X124" s="104"/>
      <c r="Y124" s="104"/>
      <c r="Z124" s="142"/>
      <c r="AA124" s="104"/>
      <c r="AB124" s="104"/>
      <c r="AC124" s="105"/>
      <c r="AD124" s="105"/>
      <c r="AE124" s="104"/>
      <c r="AF124" s="104"/>
      <c r="AG124" s="104"/>
      <c r="AH124" s="104"/>
      <c r="AI124" s="155"/>
      <c r="AJ124" s="156"/>
    </row>
    <row r="125" ht="18" customHeight="1" outlineLevel="1" spans="2:36">
      <c r="B125" s="161" t="s">
        <v>150</v>
      </c>
      <c r="C125" s="86" t="s">
        <v>185</v>
      </c>
      <c r="D125" s="87"/>
      <c r="E125" s="87"/>
      <c r="F125" s="88"/>
      <c r="G125" s="88"/>
      <c r="H125" s="89"/>
      <c r="I125" s="89"/>
      <c r="J125" s="88"/>
      <c r="K125" s="88"/>
      <c r="L125" s="88"/>
      <c r="M125" s="88"/>
      <c r="N125" s="88"/>
      <c r="O125" s="113"/>
      <c r="P125" s="113"/>
      <c r="Q125" s="113"/>
      <c r="R125" s="88"/>
      <c r="S125" s="88"/>
      <c r="T125" s="88"/>
      <c r="U125" s="88"/>
      <c r="V125" s="89"/>
      <c r="W125" s="126"/>
      <c r="X125" s="127"/>
      <c r="Y125" s="127"/>
      <c r="Z125" s="127"/>
      <c r="AA125" s="127"/>
      <c r="AB125" s="88"/>
      <c r="AC125" s="89"/>
      <c r="AD125" s="126"/>
      <c r="AE125" s="127"/>
      <c r="AF125" s="127"/>
      <c r="AG125" s="127"/>
      <c r="AH125" s="127"/>
      <c r="AI125" s="157"/>
      <c r="AJ125" s="158"/>
    </row>
    <row r="126" ht="18" customHeight="1" outlineLevel="1" spans="2:36">
      <c r="B126" s="161"/>
      <c r="C126" s="91" t="s">
        <v>186</v>
      </c>
      <c r="D126" s="92"/>
      <c r="E126" s="92"/>
      <c r="F126" s="93">
        <v>35</v>
      </c>
      <c r="G126" s="93">
        <v>35</v>
      </c>
      <c r="H126" s="94">
        <v>35</v>
      </c>
      <c r="I126" s="94">
        <v>35</v>
      </c>
      <c r="J126" s="93">
        <v>35</v>
      </c>
      <c r="K126" s="93">
        <v>35</v>
      </c>
      <c r="L126" s="93">
        <v>35</v>
      </c>
      <c r="M126" s="93">
        <v>35</v>
      </c>
      <c r="N126" s="93">
        <v>35</v>
      </c>
      <c r="O126" s="114">
        <v>35</v>
      </c>
      <c r="P126" s="114">
        <v>35</v>
      </c>
      <c r="Q126" s="114">
        <v>35</v>
      </c>
      <c r="R126" s="93">
        <v>35</v>
      </c>
      <c r="S126" s="93">
        <v>35</v>
      </c>
      <c r="T126" s="93">
        <v>35</v>
      </c>
      <c r="U126" s="93">
        <v>35</v>
      </c>
      <c r="V126" s="94">
        <v>35</v>
      </c>
      <c r="W126" s="96">
        <v>35</v>
      </c>
      <c r="X126" s="93">
        <v>35</v>
      </c>
      <c r="Y126" s="93">
        <v>35</v>
      </c>
      <c r="Z126" s="93">
        <v>35</v>
      </c>
      <c r="AA126" s="93">
        <v>35</v>
      </c>
      <c r="AB126" s="93">
        <v>35</v>
      </c>
      <c r="AC126" s="94">
        <v>35</v>
      </c>
      <c r="AD126" s="94">
        <v>35</v>
      </c>
      <c r="AE126" s="93">
        <v>35</v>
      </c>
      <c r="AF126" s="93">
        <v>35</v>
      </c>
      <c r="AG126" s="93">
        <v>35</v>
      </c>
      <c r="AH126" s="93">
        <v>35</v>
      </c>
      <c r="AI126" s="139">
        <v>35</v>
      </c>
      <c r="AJ126" s="154">
        <v>36</v>
      </c>
    </row>
    <row r="127" ht="18" customHeight="1" outlineLevel="1" spans="2:36">
      <c r="B127" s="161"/>
      <c r="C127" s="91" t="s">
        <v>187</v>
      </c>
      <c r="D127" s="92"/>
      <c r="E127" s="92"/>
      <c r="F127" s="93">
        <f t="shared" ref="F127:AB127" si="66">F125*F126</f>
        <v>0</v>
      </c>
      <c r="G127" s="93">
        <f t="shared" si="66"/>
        <v>0</v>
      </c>
      <c r="H127" s="94">
        <f t="shared" si="66"/>
        <v>0</v>
      </c>
      <c r="I127" s="94">
        <f t="shared" si="66"/>
        <v>0</v>
      </c>
      <c r="J127" s="93">
        <f t="shared" si="66"/>
        <v>0</v>
      </c>
      <c r="K127" s="93">
        <f t="shared" si="66"/>
        <v>0</v>
      </c>
      <c r="L127" s="93">
        <f t="shared" si="66"/>
        <v>0</v>
      </c>
      <c r="M127" s="93">
        <f t="shared" si="66"/>
        <v>0</v>
      </c>
      <c r="N127" s="93">
        <v>0</v>
      </c>
      <c r="O127" s="114">
        <f t="shared" si="66"/>
        <v>0</v>
      </c>
      <c r="P127" s="114">
        <f t="shared" si="66"/>
        <v>0</v>
      </c>
      <c r="Q127" s="114">
        <f t="shared" si="66"/>
        <v>0</v>
      </c>
      <c r="R127" s="93">
        <f t="shared" si="66"/>
        <v>0</v>
      </c>
      <c r="S127" s="93">
        <f t="shared" si="66"/>
        <v>0</v>
      </c>
      <c r="T127" s="93">
        <f t="shared" si="66"/>
        <v>0</v>
      </c>
      <c r="U127" s="93">
        <f t="shared" si="66"/>
        <v>0</v>
      </c>
      <c r="V127" s="94">
        <f t="shared" si="66"/>
        <v>0</v>
      </c>
      <c r="W127" s="96">
        <f t="shared" si="66"/>
        <v>0</v>
      </c>
      <c r="X127" s="93">
        <f t="shared" si="66"/>
        <v>0</v>
      </c>
      <c r="Y127" s="93">
        <f t="shared" si="66"/>
        <v>0</v>
      </c>
      <c r="Z127" s="93">
        <f t="shared" si="66"/>
        <v>0</v>
      </c>
      <c r="AA127" s="93">
        <f t="shared" si="66"/>
        <v>0</v>
      </c>
      <c r="AB127" s="93">
        <f t="shared" si="66"/>
        <v>0</v>
      </c>
      <c r="AC127" s="94"/>
      <c r="AD127" s="94">
        <f t="shared" ref="AD127:AJ127" si="67">AD125*AD126</f>
        <v>0</v>
      </c>
      <c r="AE127" s="93">
        <f t="shared" si="67"/>
        <v>0</v>
      </c>
      <c r="AF127" s="93">
        <f t="shared" si="67"/>
        <v>0</v>
      </c>
      <c r="AG127" s="93">
        <f t="shared" si="67"/>
        <v>0</v>
      </c>
      <c r="AH127" s="93">
        <f t="shared" si="67"/>
        <v>0</v>
      </c>
      <c r="AI127" s="139">
        <f t="shared" si="67"/>
        <v>0</v>
      </c>
      <c r="AJ127" s="154">
        <f t="shared" si="67"/>
        <v>0</v>
      </c>
    </row>
    <row r="128" ht="18" customHeight="1" outlineLevel="1" spans="2:36">
      <c r="B128" s="161"/>
      <c r="C128" s="91" t="s">
        <v>188</v>
      </c>
      <c r="D128" s="92"/>
      <c r="E128" s="92"/>
      <c r="F128" s="93">
        <v>1</v>
      </c>
      <c r="G128" s="93">
        <v>8</v>
      </c>
      <c r="H128" s="94">
        <v>6</v>
      </c>
      <c r="I128" s="94">
        <v>11.5</v>
      </c>
      <c r="J128" s="93">
        <v>11.5</v>
      </c>
      <c r="K128" s="93">
        <v>11.5</v>
      </c>
      <c r="L128" s="93"/>
      <c r="M128" s="93">
        <v>11.5</v>
      </c>
      <c r="N128" s="93">
        <v>11.5</v>
      </c>
      <c r="O128" s="114">
        <v>11.5</v>
      </c>
      <c r="P128" s="114">
        <v>8</v>
      </c>
      <c r="Q128" s="114">
        <v>1</v>
      </c>
      <c r="R128" s="93"/>
      <c r="S128" s="93">
        <v>1</v>
      </c>
      <c r="T128" s="93"/>
      <c r="U128" s="93"/>
      <c r="V128" s="94"/>
      <c r="W128" s="96"/>
      <c r="X128" s="93"/>
      <c r="Y128" s="93"/>
      <c r="Z128" s="93"/>
      <c r="AA128" s="93"/>
      <c r="AB128" s="93"/>
      <c r="AC128" s="94"/>
      <c r="AD128" s="94"/>
      <c r="AE128" s="93"/>
      <c r="AF128" s="93"/>
      <c r="AG128" s="93"/>
      <c r="AH128" s="93"/>
      <c r="AI128" s="139"/>
      <c r="AJ128" s="154"/>
    </row>
    <row r="129" ht="18" customHeight="1" outlineLevel="1" spans="2:36">
      <c r="B129" s="161"/>
      <c r="C129" s="91" t="s">
        <v>189</v>
      </c>
      <c r="D129" s="92"/>
      <c r="E129" s="92"/>
      <c r="F129" s="93">
        <v>680</v>
      </c>
      <c r="G129" s="93">
        <v>680</v>
      </c>
      <c r="H129" s="94">
        <v>680</v>
      </c>
      <c r="I129" s="94">
        <v>680</v>
      </c>
      <c r="J129" s="93">
        <v>680</v>
      </c>
      <c r="K129" s="93">
        <v>680</v>
      </c>
      <c r="L129" s="93">
        <v>680</v>
      </c>
      <c r="M129" s="93">
        <v>680</v>
      </c>
      <c r="N129" s="93">
        <v>680</v>
      </c>
      <c r="O129" s="114">
        <v>680</v>
      </c>
      <c r="P129" s="114">
        <v>680</v>
      </c>
      <c r="Q129" s="114">
        <v>680</v>
      </c>
      <c r="R129" s="93">
        <v>680</v>
      </c>
      <c r="S129" s="93">
        <v>680</v>
      </c>
      <c r="T129" s="93">
        <v>680</v>
      </c>
      <c r="U129" s="93">
        <v>680</v>
      </c>
      <c r="V129" s="94">
        <v>680</v>
      </c>
      <c r="W129" s="96">
        <v>680</v>
      </c>
      <c r="X129" s="93">
        <v>680</v>
      </c>
      <c r="Y129" s="93">
        <v>680</v>
      </c>
      <c r="Z129" s="93">
        <v>680</v>
      </c>
      <c r="AA129" s="93">
        <v>680</v>
      </c>
      <c r="AB129" s="93">
        <v>680</v>
      </c>
      <c r="AC129" s="94"/>
      <c r="AD129" s="94">
        <v>680</v>
      </c>
      <c r="AE129" s="93">
        <v>680</v>
      </c>
      <c r="AF129" s="93">
        <v>680</v>
      </c>
      <c r="AG129" s="93">
        <v>680</v>
      </c>
      <c r="AH129" s="93">
        <v>680</v>
      </c>
      <c r="AI129" s="139">
        <v>680</v>
      </c>
      <c r="AJ129" s="154">
        <v>681</v>
      </c>
    </row>
    <row r="130" ht="18" customHeight="1" outlineLevel="1" spans="2:36">
      <c r="B130" s="161"/>
      <c r="C130" s="91" t="s">
        <v>190</v>
      </c>
      <c r="D130" s="92">
        <v>0</v>
      </c>
      <c r="E130" s="92">
        <f>SUM(F130:AI130)</f>
        <v>0</v>
      </c>
      <c r="F130" s="95">
        <f>F125*F128*F129*0.35</f>
        <v>0</v>
      </c>
      <c r="G130" s="95">
        <f>G125*G128*G129</f>
        <v>0</v>
      </c>
      <c r="H130" s="96">
        <f>H125*H128*H129</f>
        <v>0</v>
      </c>
      <c r="I130" s="96">
        <f>I125*I128*I129*0.5</f>
        <v>0</v>
      </c>
      <c r="J130" s="95">
        <f>J125*J128*J129*0.75</f>
        <v>0</v>
      </c>
      <c r="K130" s="95">
        <f>K125*K128*K129*0.85</f>
        <v>0</v>
      </c>
      <c r="L130" s="95">
        <f>L125*L128*L129*0.95</f>
        <v>0</v>
      </c>
      <c r="M130" s="95">
        <f t="shared" ref="M130:Q130" si="68">M125*M128*M129</f>
        <v>0</v>
      </c>
      <c r="N130" s="95">
        <v>0</v>
      </c>
      <c r="O130" s="115">
        <f>O125*O128*O129*0.85</f>
        <v>0</v>
      </c>
      <c r="P130" s="115">
        <f>P125*P128*P129*0.95</f>
        <v>0</v>
      </c>
      <c r="Q130" s="115">
        <f t="shared" si="68"/>
        <v>0</v>
      </c>
      <c r="R130" s="95">
        <f>R125*R128*R129*0.85</f>
        <v>0</v>
      </c>
      <c r="S130" s="95">
        <f t="shared" ref="S130:U130" si="69">S125*S128*S129</f>
        <v>0</v>
      </c>
      <c r="T130" s="95">
        <f t="shared" si="69"/>
        <v>0</v>
      </c>
      <c r="U130" s="95">
        <f t="shared" si="69"/>
        <v>0</v>
      </c>
      <c r="V130" s="96">
        <f>V125*V128*V129*0.85</f>
        <v>0</v>
      </c>
      <c r="W130" s="96">
        <f t="shared" ref="W130:AB130" si="70">W125*W128*W129</f>
        <v>0</v>
      </c>
      <c r="X130" s="95">
        <f t="shared" si="70"/>
        <v>0</v>
      </c>
      <c r="Y130" s="95">
        <f t="shared" si="70"/>
        <v>0</v>
      </c>
      <c r="Z130" s="95">
        <f t="shared" si="70"/>
        <v>0</v>
      </c>
      <c r="AA130" s="95">
        <f t="shared" si="70"/>
        <v>0</v>
      </c>
      <c r="AB130" s="95">
        <f t="shared" si="70"/>
        <v>0</v>
      </c>
      <c r="AC130" s="96">
        <f>AC125*AC128*AC129*0.85</f>
        <v>0</v>
      </c>
      <c r="AD130" s="96">
        <f t="shared" ref="AD130:AJ130" si="71">AD125*AD128*AD129</f>
        <v>0</v>
      </c>
      <c r="AE130" s="95">
        <f t="shared" si="71"/>
        <v>0</v>
      </c>
      <c r="AF130" s="95">
        <f t="shared" si="71"/>
        <v>0</v>
      </c>
      <c r="AG130" s="95">
        <f t="shared" si="71"/>
        <v>0</v>
      </c>
      <c r="AH130" s="95">
        <f t="shared" si="71"/>
        <v>0</v>
      </c>
      <c r="AI130" s="139">
        <f t="shared" si="71"/>
        <v>0</v>
      </c>
      <c r="AJ130" s="154">
        <f t="shared" si="71"/>
        <v>0</v>
      </c>
    </row>
    <row r="131" ht="18" customHeight="1" outlineLevel="1" spans="2:36">
      <c r="B131" s="162"/>
      <c r="C131" s="91" t="s">
        <v>191</v>
      </c>
      <c r="D131" s="92"/>
      <c r="E131" s="108">
        <f>SUM(F131:AJ131)</f>
        <v>0</v>
      </c>
      <c r="F131" s="98"/>
      <c r="G131" s="99"/>
      <c r="H131" s="100"/>
      <c r="I131" s="100"/>
      <c r="J131" s="99"/>
      <c r="K131" s="99"/>
      <c r="L131" s="95"/>
      <c r="M131" s="95"/>
      <c r="N131" s="95"/>
      <c r="O131" s="115"/>
      <c r="P131" s="115"/>
      <c r="Q131" s="115"/>
      <c r="R131" s="95"/>
      <c r="S131" s="95"/>
      <c r="T131" s="95"/>
      <c r="U131" s="95"/>
      <c r="V131" s="96"/>
      <c r="W131" s="96"/>
      <c r="X131" s="95"/>
      <c r="Y131" s="128"/>
      <c r="Z131" s="95"/>
      <c r="AA131" s="95"/>
      <c r="AB131" s="95"/>
      <c r="AC131" s="96"/>
      <c r="AD131" s="96"/>
      <c r="AE131" s="95"/>
      <c r="AF131" s="95"/>
      <c r="AG131" s="95"/>
      <c r="AH131" s="95"/>
      <c r="AI131" s="139"/>
      <c r="AJ131" s="154"/>
    </row>
    <row r="132" ht="18" customHeight="1" outlineLevel="1" spans="2:36">
      <c r="B132" s="161"/>
      <c r="C132" s="91" t="s">
        <v>192</v>
      </c>
      <c r="D132" s="92"/>
      <c r="E132" s="92"/>
      <c r="F132" s="95">
        <f t="shared" ref="F132:AJ132" si="72">F131-F130</f>
        <v>0</v>
      </c>
      <c r="G132" s="95">
        <f t="shared" si="72"/>
        <v>0</v>
      </c>
      <c r="H132" s="96">
        <f t="shared" si="72"/>
        <v>0</v>
      </c>
      <c r="I132" s="96">
        <f t="shared" si="72"/>
        <v>0</v>
      </c>
      <c r="J132" s="95">
        <f t="shared" si="72"/>
        <v>0</v>
      </c>
      <c r="K132" s="95">
        <f t="shared" si="72"/>
        <v>0</v>
      </c>
      <c r="L132" s="95">
        <f t="shared" si="72"/>
        <v>0</v>
      </c>
      <c r="M132" s="95">
        <f t="shared" si="72"/>
        <v>0</v>
      </c>
      <c r="N132" s="95">
        <v>0</v>
      </c>
      <c r="O132" s="115">
        <f t="shared" si="72"/>
        <v>0</v>
      </c>
      <c r="P132" s="115">
        <f t="shared" si="72"/>
        <v>0</v>
      </c>
      <c r="Q132" s="115">
        <f t="shared" si="72"/>
        <v>0</v>
      </c>
      <c r="R132" s="95">
        <f t="shared" si="72"/>
        <v>0</v>
      </c>
      <c r="S132" s="95">
        <f t="shared" si="72"/>
        <v>0</v>
      </c>
      <c r="T132" s="95">
        <f t="shared" si="72"/>
        <v>0</v>
      </c>
      <c r="U132" s="95">
        <f t="shared" si="72"/>
        <v>0</v>
      </c>
      <c r="V132" s="96">
        <f t="shared" si="72"/>
        <v>0</v>
      </c>
      <c r="W132" s="123">
        <f t="shared" si="72"/>
        <v>0</v>
      </c>
      <c r="X132" s="128">
        <f t="shared" si="72"/>
        <v>0</v>
      </c>
      <c r="Y132" s="128">
        <f t="shared" si="72"/>
        <v>0</v>
      </c>
      <c r="Z132" s="128">
        <f t="shared" si="72"/>
        <v>0</v>
      </c>
      <c r="AA132" s="128">
        <f t="shared" si="72"/>
        <v>0</v>
      </c>
      <c r="AB132" s="128">
        <f t="shared" si="72"/>
        <v>0</v>
      </c>
      <c r="AC132" s="96">
        <f t="shared" si="72"/>
        <v>0</v>
      </c>
      <c r="AD132" s="96">
        <f t="shared" si="72"/>
        <v>0</v>
      </c>
      <c r="AE132" s="95">
        <f t="shared" si="72"/>
        <v>0</v>
      </c>
      <c r="AF132" s="95">
        <f t="shared" si="72"/>
        <v>0</v>
      </c>
      <c r="AG132" s="95">
        <f t="shared" si="72"/>
        <v>0</v>
      </c>
      <c r="AH132" s="95">
        <f t="shared" si="72"/>
        <v>0</v>
      </c>
      <c r="AI132" s="139">
        <f t="shared" si="72"/>
        <v>0</v>
      </c>
      <c r="AJ132" s="154">
        <f t="shared" si="72"/>
        <v>0</v>
      </c>
    </row>
    <row r="133" ht="18" customHeight="1" outlineLevel="1" spans="2:36">
      <c r="B133" s="161"/>
      <c r="C133" s="91" t="s">
        <v>193</v>
      </c>
      <c r="D133" s="92"/>
      <c r="E133" s="92"/>
      <c r="F133" s="95">
        <f t="shared" ref="F133:AJ133" si="73">E133+F131</f>
        <v>0</v>
      </c>
      <c r="G133" s="95">
        <f t="shared" si="73"/>
        <v>0</v>
      </c>
      <c r="H133" s="96">
        <f t="shared" si="73"/>
        <v>0</v>
      </c>
      <c r="I133" s="96">
        <f t="shared" si="73"/>
        <v>0</v>
      </c>
      <c r="J133" s="95">
        <f t="shared" si="73"/>
        <v>0</v>
      </c>
      <c r="K133" s="95">
        <f t="shared" si="73"/>
        <v>0</v>
      </c>
      <c r="L133" s="95">
        <f t="shared" si="73"/>
        <v>0</v>
      </c>
      <c r="M133" s="95">
        <f t="shared" si="73"/>
        <v>0</v>
      </c>
      <c r="N133" s="95">
        <v>0</v>
      </c>
      <c r="O133" s="115">
        <f t="shared" si="73"/>
        <v>0</v>
      </c>
      <c r="P133" s="115">
        <f t="shared" si="73"/>
        <v>0</v>
      </c>
      <c r="Q133" s="115">
        <f t="shared" si="73"/>
        <v>0</v>
      </c>
      <c r="R133" s="95">
        <f t="shared" si="73"/>
        <v>0</v>
      </c>
      <c r="S133" s="95">
        <f t="shared" si="73"/>
        <v>0</v>
      </c>
      <c r="T133" s="95">
        <f t="shared" si="73"/>
        <v>0</v>
      </c>
      <c r="U133" s="95">
        <f t="shared" si="73"/>
        <v>0</v>
      </c>
      <c r="V133" s="96">
        <f t="shared" si="73"/>
        <v>0</v>
      </c>
      <c r="W133" s="123">
        <f t="shared" si="73"/>
        <v>0</v>
      </c>
      <c r="X133" s="128">
        <f t="shared" si="73"/>
        <v>0</v>
      </c>
      <c r="Y133" s="128">
        <f t="shared" si="73"/>
        <v>0</v>
      </c>
      <c r="Z133" s="128">
        <f t="shared" si="73"/>
        <v>0</v>
      </c>
      <c r="AA133" s="128">
        <f t="shared" si="73"/>
        <v>0</v>
      </c>
      <c r="AB133" s="128">
        <f t="shared" si="73"/>
        <v>0</v>
      </c>
      <c r="AC133" s="96">
        <f t="shared" si="73"/>
        <v>0</v>
      </c>
      <c r="AD133" s="96">
        <f t="shared" si="73"/>
        <v>0</v>
      </c>
      <c r="AE133" s="95">
        <f t="shared" si="73"/>
        <v>0</v>
      </c>
      <c r="AF133" s="95">
        <f t="shared" si="73"/>
        <v>0</v>
      </c>
      <c r="AG133" s="95">
        <f t="shared" si="73"/>
        <v>0</v>
      </c>
      <c r="AH133" s="95">
        <f t="shared" si="73"/>
        <v>0</v>
      </c>
      <c r="AI133" s="139">
        <f t="shared" si="73"/>
        <v>0</v>
      </c>
      <c r="AJ133" s="154">
        <f t="shared" si="73"/>
        <v>0</v>
      </c>
    </row>
    <row r="134" ht="18" customHeight="1" spans="2:36">
      <c r="B134" s="164"/>
      <c r="C134" s="102" t="s">
        <v>194</v>
      </c>
      <c r="D134" s="103"/>
      <c r="E134" s="103"/>
      <c r="F134" s="104" t="str">
        <f t="shared" ref="F134:AJ134" si="74">IF(F131&gt;0,F131/F130,"")</f>
        <v/>
      </c>
      <c r="G134" s="104" t="str">
        <f t="shared" si="74"/>
        <v/>
      </c>
      <c r="H134" s="105" t="str">
        <f t="shared" si="74"/>
        <v/>
      </c>
      <c r="I134" s="105" t="str">
        <f t="shared" si="74"/>
        <v/>
      </c>
      <c r="J134" s="104" t="str">
        <f t="shared" si="74"/>
        <v/>
      </c>
      <c r="K134" s="104" t="str">
        <f t="shared" si="74"/>
        <v/>
      </c>
      <c r="L134" s="104" t="str">
        <f t="shared" si="74"/>
        <v/>
      </c>
      <c r="M134" s="104" t="str">
        <f t="shared" si="74"/>
        <v/>
      </c>
      <c r="N134" s="104" t="s">
        <v>195</v>
      </c>
      <c r="O134" s="116" t="str">
        <f t="shared" si="74"/>
        <v/>
      </c>
      <c r="P134" s="116" t="str">
        <f t="shared" si="74"/>
        <v/>
      </c>
      <c r="Q134" s="116" t="str">
        <f t="shared" si="74"/>
        <v/>
      </c>
      <c r="R134" s="104" t="str">
        <f t="shared" si="74"/>
        <v/>
      </c>
      <c r="S134" s="104" t="str">
        <f t="shared" si="74"/>
        <v/>
      </c>
      <c r="T134" s="104" t="str">
        <f t="shared" si="74"/>
        <v/>
      </c>
      <c r="U134" s="104" t="str">
        <f t="shared" si="74"/>
        <v/>
      </c>
      <c r="V134" s="105" t="str">
        <f t="shared" si="74"/>
        <v/>
      </c>
      <c r="W134" s="105" t="str">
        <f t="shared" si="74"/>
        <v/>
      </c>
      <c r="X134" s="104" t="str">
        <f t="shared" si="74"/>
        <v/>
      </c>
      <c r="Y134" s="104" t="str">
        <f t="shared" si="74"/>
        <v/>
      </c>
      <c r="Z134" s="142" t="str">
        <f t="shared" si="74"/>
        <v/>
      </c>
      <c r="AA134" s="104" t="str">
        <f t="shared" si="74"/>
        <v/>
      </c>
      <c r="AB134" s="104" t="str">
        <f t="shared" si="74"/>
        <v/>
      </c>
      <c r="AC134" s="105" t="str">
        <f t="shared" si="74"/>
        <v/>
      </c>
      <c r="AD134" s="105" t="str">
        <f t="shared" si="74"/>
        <v/>
      </c>
      <c r="AE134" s="104" t="str">
        <f t="shared" si="74"/>
        <v/>
      </c>
      <c r="AF134" s="104" t="str">
        <f t="shared" si="74"/>
        <v/>
      </c>
      <c r="AG134" s="104" t="str">
        <f t="shared" si="74"/>
        <v/>
      </c>
      <c r="AH134" s="104" t="str">
        <f t="shared" si="74"/>
        <v/>
      </c>
      <c r="AI134" s="155" t="str">
        <f t="shared" si="74"/>
        <v/>
      </c>
      <c r="AJ134" s="156" t="str">
        <f t="shared" si="74"/>
        <v/>
      </c>
    </row>
    <row r="135" ht="18" customHeight="1" outlineLevel="1" spans="2:36">
      <c r="B135" s="161" t="s">
        <v>201</v>
      </c>
      <c r="C135" s="86" t="s">
        <v>185</v>
      </c>
      <c r="D135" s="87"/>
      <c r="E135" s="87"/>
      <c r="F135" s="88"/>
      <c r="G135" s="88"/>
      <c r="H135" s="89"/>
      <c r="I135" s="89"/>
      <c r="J135" s="88"/>
      <c r="K135" s="88"/>
      <c r="L135" s="88"/>
      <c r="M135" s="88"/>
      <c r="N135" s="88"/>
      <c r="O135" s="113"/>
      <c r="P135" s="113"/>
      <c r="Q135" s="113"/>
      <c r="R135" s="88"/>
      <c r="S135" s="88"/>
      <c r="T135" s="88"/>
      <c r="U135" s="88"/>
      <c r="V135" s="89"/>
      <c r="W135" s="126"/>
      <c r="X135" s="127"/>
      <c r="Y135" s="127"/>
      <c r="Z135" s="127"/>
      <c r="AA135" s="127"/>
      <c r="AB135" s="88"/>
      <c r="AC135" s="89"/>
      <c r="AD135" s="126"/>
      <c r="AE135" s="127"/>
      <c r="AF135" s="127"/>
      <c r="AG135" s="127"/>
      <c r="AH135" s="127"/>
      <c r="AI135" s="157"/>
      <c r="AJ135" s="158"/>
    </row>
    <row r="136" ht="18" customHeight="1" outlineLevel="1" spans="2:36">
      <c r="B136" s="161"/>
      <c r="C136" s="91" t="s">
        <v>186</v>
      </c>
      <c r="D136" s="92"/>
      <c r="E136" s="92"/>
      <c r="F136" s="93">
        <v>43</v>
      </c>
      <c r="G136" s="93">
        <v>43</v>
      </c>
      <c r="H136" s="94">
        <v>43</v>
      </c>
      <c r="I136" s="94">
        <v>43</v>
      </c>
      <c r="J136" s="93">
        <v>43</v>
      </c>
      <c r="K136" s="93">
        <v>43</v>
      </c>
      <c r="L136" s="93">
        <v>43</v>
      </c>
      <c r="M136" s="93">
        <v>43</v>
      </c>
      <c r="N136" s="93">
        <v>43</v>
      </c>
      <c r="O136" s="114">
        <v>43</v>
      </c>
      <c r="P136" s="114">
        <v>43</v>
      </c>
      <c r="Q136" s="114">
        <v>43</v>
      </c>
      <c r="R136" s="93">
        <v>43</v>
      </c>
      <c r="S136" s="93">
        <v>43</v>
      </c>
      <c r="T136" s="93">
        <v>43</v>
      </c>
      <c r="U136" s="93">
        <v>43</v>
      </c>
      <c r="V136" s="94">
        <v>43</v>
      </c>
      <c r="W136" s="96">
        <v>43</v>
      </c>
      <c r="X136" s="93">
        <v>43</v>
      </c>
      <c r="Y136" s="93">
        <v>43</v>
      </c>
      <c r="Z136" s="93">
        <v>43</v>
      </c>
      <c r="AA136" s="93">
        <v>43</v>
      </c>
      <c r="AB136" s="93">
        <v>43</v>
      </c>
      <c r="AC136" s="94">
        <v>43</v>
      </c>
      <c r="AD136" s="94">
        <v>43</v>
      </c>
      <c r="AE136" s="93">
        <v>43</v>
      </c>
      <c r="AF136" s="93">
        <v>43</v>
      </c>
      <c r="AG136" s="93">
        <v>43</v>
      </c>
      <c r="AH136" s="93">
        <v>43</v>
      </c>
      <c r="AI136" s="139">
        <v>43</v>
      </c>
      <c r="AJ136" s="154">
        <v>44</v>
      </c>
    </row>
    <row r="137" ht="18" customHeight="1" outlineLevel="1" spans="2:36">
      <c r="B137" s="161"/>
      <c r="C137" s="91" t="s">
        <v>187</v>
      </c>
      <c r="D137" s="92"/>
      <c r="E137" s="92"/>
      <c r="F137" s="93">
        <f t="shared" ref="F137:AB137" si="75">F135*F136</f>
        <v>0</v>
      </c>
      <c r="G137" s="93">
        <f t="shared" si="75"/>
        <v>0</v>
      </c>
      <c r="H137" s="94">
        <f t="shared" si="75"/>
        <v>0</v>
      </c>
      <c r="I137" s="94">
        <f t="shared" si="75"/>
        <v>0</v>
      </c>
      <c r="J137" s="93">
        <f t="shared" si="75"/>
        <v>0</v>
      </c>
      <c r="K137" s="93">
        <f t="shared" si="75"/>
        <v>0</v>
      </c>
      <c r="L137" s="93">
        <f t="shared" si="75"/>
        <v>0</v>
      </c>
      <c r="M137" s="93">
        <f t="shared" si="75"/>
        <v>0</v>
      </c>
      <c r="N137" s="93">
        <v>0</v>
      </c>
      <c r="O137" s="114">
        <f t="shared" si="75"/>
        <v>0</v>
      </c>
      <c r="P137" s="114">
        <f t="shared" si="75"/>
        <v>0</v>
      </c>
      <c r="Q137" s="114">
        <f t="shared" si="75"/>
        <v>0</v>
      </c>
      <c r="R137" s="93">
        <f t="shared" si="75"/>
        <v>0</v>
      </c>
      <c r="S137" s="93">
        <f t="shared" si="75"/>
        <v>0</v>
      </c>
      <c r="T137" s="93">
        <f t="shared" si="75"/>
        <v>0</v>
      </c>
      <c r="U137" s="93">
        <f t="shared" si="75"/>
        <v>0</v>
      </c>
      <c r="V137" s="94">
        <f t="shared" si="75"/>
        <v>0</v>
      </c>
      <c r="W137" s="96">
        <f t="shared" si="75"/>
        <v>0</v>
      </c>
      <c r="X137" s="93">
        <f t="shared" si="75"/>
        <v>0</v>
      </c>
      <c r="Y137" s="93">
        <f t="shared" si="75"/>
        <v>0</v>
      </c>
      <c r="Z137" s="93">
        <f t="shared" si="75"/>
        <v>0</v>
      </c>
      <c r="AA137" s="93">
        <f t="shared" si="75"/>
        <v>0</v>
      </c>
      <c r="AB137" s="93">
        <f t="shared" si="75"/>
        <v>0</v>
      </c>
      <c r="AC137" s="94"/>
      <c r="AD137" s="94">
        <f t="shared" ref="AD137:AJ137" si="76">AD135*AD136</f>
        <v>0</v>
      </c>
      <c r="AE137" s="93">
        <f t="shared" si="76"/>
        <v>0</v>
      </c>
      <c r="AF137" s="93">
        <f t="shared" si="76"/>
        <v>0</v>
      </c>
      <c r="AG137" s="93">
        <f t="shared" si="76"/>
        <v>0</v>
      </c>
      <c r="AH137" s="93">
        <f t="shared" si="76"/>
        <v>0</v>
      </c>
      <c r="AI137" s="139">
        <f t="shared" si="76"/>
        <v>0</v>
      </c>
      <c r="AJ137" s="154">
        <f t="shared" si="76"/>
        <v>0</v>
      </c>
    </row>
    <row r="138" ht="18" customHeight="1" outlineLevel="1" spans="2:36">
      <c r="B138" s="161"/>
      <c r="C138" s="91" t="s">
        <v>188</v>
      </c>
      <c r="D138" s="92"/>
      <c r="E138" s="92"/>
      <c r="F138" s="93">
        <v>1</v>
      </c>
      <c r="G138" s="93">
        <v>1</v>
      </c>
      <c r="H138" s="94">
        <v>1</v>
      </c>
      <c r="I138" s="94">
        <v>8</v>
      </c>
      <c r="J138" s="93">
        <v>8</v>
      </c>
      <c r="K138" s="93">
        <v>11.5</v>
      </c>
      <c r="L138" s="93"/>
      <c r="M138" s="93">
        <v>11.5</v>
      </c>
      <c r="N138" s="93">
        <v>11.5</v>
      </c>
      <c r="O138" s="114">
        <v>11.5</v>
      </c>
      <c r="P138" s="114">
        <v>11.5</v>
      </c>
      <c r="Q138" s="114">
        <v>11.5</v>
      </c>
      <c r="R138" s="93">
        <v>6</v>
      </c>
      <c r="S138" s="93"/>
      <c r="T138" s="93"/>
      <c r="U138" s="93"/>
      <c r="V138" s="94"/>
      <c r="W138" s="96"/>
      <c r="X138" s="93"/>
      <c r="Y138" s="93"/>
      <c r="Z138" s="93"/>
      <c r="AA138" s="93"/>
      <c r="AB138" s="93"/>
      <c r="AC138" s="94"/>
      <c r="AD138" s="94"/>
      <c r="AE138" s="93"/>
      <c r="AF138" s="93"/>
      <c r="AG138" s="93"/>
      <c r="AH138" s="93"/>
      <c r="AI138" s="139"/>
      <c r="AJ138" s="154"/>
    </row>
    <row r="139" ht="18" customHeight="1" outlineLevel="1" spans="2:36">
      <c r="B139" s="161"/>
      <c r="C139" s="91" t="s">
        <v>189</v>
      </c>
      <c r="D139" s="92"/>
      <c r="E139" s="92"/>
      <c r="F139" s="93">
        <v>680</v>
      </c>
      <c r="G139" s="93">
        <v>680</v>
      </c>
      <c r="H139" s="94">
        <v>680</v>
      </c>
      <c r="I139" s="94">
        <v>680</v>
      </c>
      <c r="J139" s="93">
        <v>680</v>
      </c>
      <c r="K139" s="93">
        <v>680</v>
      </c>
      <c r="L139" s="93">
        <v>680</v>
      </c>
      <c r="M139" s="93">
        <v>680</v>
      </c>
      <c r="N139" s="93">
        <v>680</v>
      </c>
      <c r="O139" s="114">
        <v>680</v>
      </c>
      <c r="P139" s="114">
        <v>680</v>
      </c>
      <c r="Q139" s="114">
        <v>680</v>
      </c>
      <c r="R139" s="93">
        <v>680</v>
      </c>
      <c r="S139" s="93">
        <v>680</v>
      </c>
      <c r="T139" s="93">
        <v>680</v>
      </c>
      <c r="U139" s="93">
        <v>680</v>
      </c>
      <c r="V139" s="94">
        <v>680</v>
      </c>
      <c r="W139" s="96">
        <v>680</v>
      </c>
      <c r="X139" s="93">
        <v>680</v>
      </c>
      <c r="Y139" s="93">
        <v>680</v>
      </c>
      <c r="Z139" s="93">
        <v>680</v>
      </c>
      <c r="AA139" s="93">
        <v>680</v>
      </c>
      <c r="AB139" s="93">
        <v>680</v>
      </c>
      <c r="AC139" s="94"/>
      <c r="AD139" s="94">
        <v>680</v>
      </c>
      <c r="AE139" s="93">
        <v>680</v>
      </c>
      <c r="AF139" s="93">
        <v>680</v>
      </c>
      <c r="AG139" s="93">
        <v>680</v>
      </c>
      <c r="AH139" s="93">
        <v>680</v>
      </c>
      <c r="AI139" s="139">
        <v>680</v>
      </c>
      <c r="AJ139" s="154">
        <v>681</v>
      </c>
    </row>
    <row r="140" ht="18" customHeight="1" outlineLevel="1" spans="2:36">
      <c r="B140" s="161"/>
      <c r="C140" s="91" t="s">
        <v>190</v>
      </c>
      <c r="D140" s="92">
        <v>0</v>
      </c>
      <c r="E140" s="92">
        <f>SUM(F140:AI140)</f>
        <v>0</v>
      </c>
      <c r="F140" s="95">
        <f>F135*F138*F139*0.35</f>
        <v>0</v>
      </c>
      <c r="G140" s="95">
        <f>G135*G138*G139</f>
        <v>0</v>
      </c>
      <c r="H140" s="96">
        <f>H135*H138*H139</f>
        <v>0</v>
      </c>
      <c r="I140" s="96">
        <f>I135*I138*I139*0.5</f>
        <v>0</v>
      </c>
      <c r="J140" s="95">
        <f>J135*J138*J139*0.65</f>
        <v>0</v>
      </c>
      <c r="K140" s="95">
        <f>K135*K138*K139*0.85</f>
        <v>0</v>
      </c>
      <c r="L140" s="95">
        <f>L135*L138*L139*0.95</f>
        <v>0</v>
      </c>
      <c r="M140" s="95">
        <f t="shared" ref="M140:Q140" si="77">M135*M138*M139</f>
        <v>0</v>
      </c>
      <c r="N140" s="95">
        <v>0</v>
      </c>
      <c r="O140" s="115">
        <f>O135*O138*O139*0.85</f>
        <v>0</v>
      </c>
      <c r="P140" s="115">
        <f>P135*P138*P139*0.95</f>
        <v>0</v>
      </c>
      <c r="Q140" s="115">
        <f t="shared" si="77"/>
        <v>0</v>
      </c>
      <c r="R140" s="95">
        <f>R135*R138*R139*0.85</f>
        <v>0</v>
      </c>
      <c r="S140" s="95">
        <f t="shared" ref="S140:U140" si="78">S135*S138*S139</f>
        <v>0</v>
      </c>
      <c r="T140" s="95">
        <f t="shared" si="78"/>
        <v>0</v>
      </c>
      <c r="U140" s="95">
        <f t="shared" si="78"/>
        <v>0</v>
      </c>
      <c r="V140" s="96">
        <f>V135*V138*V139*0.85</f>
        <v>0</v>
      </c>
      <c r="W140" s="96">
        <f t="shared" ref="W140:AB140" si="79">W135*W138*W139</f>
        <v>0</v>
      </c>
      <c r="X140" s="95">
        <f t="shared" si="79"/>
        <v>0</v>
      </c>
      <c r="Y140" s="95">
        <f t="shared" si="79"/>
        <v>0</v>
      </c>
      <c r="Z140" s="95">
        <f t="shared" si="79"/>
        <v>0</v>
      </c>
      <c r="AA140" s="95">
        <f t="shared" si="79"/>
        <v>0</v>
      </c>
      <c r="AB140" s="95">
        <f t="shared" si="79"/>
        <v>0</v>
      </c>
      <c r="AC140" s="96">
        <f>AC135*AC138*AC139*0.85</f>
        <v>0</v>
      </c>
      <c r="AD140" s="96">
        <f t="shared" ref="AD140:AJ140" si="80">AD135*AD138*AD139</f>
        <v>0</v>
      </c>
      <c r="AE140" s="95">
        <f t="shared" si="80"/>
        <v>0</v>
      </c>
      <c r="AF140" s="95">
        <f t="shared" si="80"/>
        <v>0</v>
      </c>
      <c r="AG140" s="95">
        <f t="shared" si="80"/>
        <v>0</v>
      </c>
      <c r="AH140" s="95">
        <f t="shared" si="80"/>
        <v>0</v>
      </c>
      <c r="AI140" s="139">
        <f t="shared" si="80"/>
        <v>0</v>
      </c>
      <c r="AJ140" s="154">
        <f t="shared" si="80"/>
        <v>0</v>
      </c>
    </row>
    <row r="141" ht="18" customHeight="1" outlineLevel="1" spans="2:36">
      <c r="B141" s="162"/>
      <c r="C141" s="91" t="s">
        <v>191</v>
      </c>
      <c r="D141" s="92"/>
      <c r="E141" s="108">
        <f>SUM(F141:AJ141)</f>
        <v>0</v>
      </c>
      <c r="F141" s="98"/>
      <c r="G141" s="99"/>
      <c r="H141" s="100"/>
      <c r="I141" s="100"/>
      <c r="J141" s="99"/>
      <c r="K141" s="99"/>
      <c r="L141" s="95"/>
      <c r="M141" s="95"/>
      <c r="N141" s="95"/>
      <c r="O141" s="115"/>
      <c r="P141" s="115"/>
      <c r="Q141" s="115"/>
      <c r="R141" s="95"/>
      <c r="S141" s="95"/>
      <c r="T141" s="95"/>
      <c r="U141" s="95"/>
      <c r="V141" s="96"/>
      <c r="W141" s="96"/>
      <c r="X141" s="95"/>
      <c r="Y141" s="128"/>
      <c r="Z141" s="95"/>
      <c r="AA141" s="95"/>
      <c r="AB141" s="95"/>
      <c r="AC141" s="96"/>
      <c r="AD141" s="96"/>
      <c r="AE141" s="95"/>
      <c r="AF141" s="95"/>
      <c r="AG141" s="95"/>
      <c r="AH141" s="95"/>
      <c r="AI141" s="139"/>
      <c r="AJ141" s="154"/>
    </row>
    <row r="142" ht="18" customHeight="1" outlineLevel="1" spans="2:36">
      <c r="B142" s="161"/>
      <c r="C142" s="91" t="s">
        <v>192</v>
      </c>
      <c r="D142" s="92"/>
      <c r="E142" s="92"/>
      <c r="F142" s="95">
        <f t="shared" ref="F142:AJ142" si="81">F141-F140</f>
        <v>0</v>
      </c>
      <c r="G142" s="95">
        <f t="shared" si="81"/>
        <v>0</v>
      </c>
      <c r="H142" s="96">
        <f t="shared" si="81"/>
        <v>0</v>
      </c>
      <c r="I142" s="96">
        <f t="shared" si="81"/>
        <v>0</v>
      </c>
      <c r="J142" s="95">
        <f t="shared" si="81"/>
        <v>0</v>
      </c>
      <c r="K142" s="95">
        <f t="shared" si="81"/>
        <v>0</v>
      </c>
      <c r="L142" s="95">
        <f t="shared" si="81"/>
        <v>0</v>
      </c>
      <c r="M142" s="95">
        <f t="shared" si="81"/>
        <v>0</v>
      </c>
      <c r="N142" s="95">
        <v>0</v>
      </c>
      <c r="O142" s="115">
        <f t="shared" si="81"/>
        <v>0</v>
      </c>
      <c r="P142" s="115">
        <f t="shared" si="81"/>
        <v>0</v>
      </c>
      <c r="Q142" s="115">
        <f t="shared" si="81"/>
        <v>0</v>
      </c>
      <c r="R142" s="95">
        <f t="shared" si="81"/>
        <v>0</v>
      </c>
      <c r="S142" s="95">
        <f t="shared" si="81"/>
        <v>0</v>
      </c>
      <c r="T142" s="95">
        <f t="shared" si="81"/>
        <v>0</v>
      </c>
      <c r="U142" s="95">
        <f t="shared" si="81"/>
        <v>0</v>
      </c>
      <c r="V142" s="96">
        <f t="shared" si="81"/>
        <v>0</v>
      </c>
      <c r="W142" s="123">
        <f t="shared" si="81"/>
        <v>0</v>
      </c>
      <c r="X142" s="128">
        <f t="shared" si="81"/>
        <v>0</v>
      </c>
      <c r="Y142" s="128">
        <f t="shared" si="81"/>
        <v>0</v>
      </c>
      <c r="Z142" s="128">
        <f t="shared" si="81"/>
        <v>0</v>
      </c>
      <c r="AA142" s="128">
        <f t="shared" si="81"/>
        <v>0</v>
      </c>
      <c r="AB142" s="128">
        <f t="shared" si="81"/>
        <v>0</v>
      </c>
      <c r="AC142" s="96">
        <f t="shared" si="81"/>
        <v>0</v>
      </c>
      <c r="AD142" s="96">
        <f t="shared" si="81"/>
        <v>0</v>
      </c>
      <c r="AE142" s="95">
        <f t="shared" si="81"/>
        <v>0</v>
      </c>
      <c r="AF142" s="95">
        <f t="shared" si="81"/>
        <v>0</v>
      </c>
      <c r="AG142" s="95">
        <f t="shared" si="81"/>
        <v>0</v>
      </c>
      <c r="AH142" s="95">
        <f t="shared" si="81"/>
        <v>0</v>
      </c>
      <c r="AI142" s="139">
        <f t="shared" si="81"/>
        <v>0</v>
      </c>
      <c r="AJ142" s="154">
        <f t="shared" si="81"/>
        <v>0</v>
      </c>
    </row>
    <row r="143" ht="18" customHeight="1" outlineLevel="1" spans="2:36">
      <c r="B143" s="161"/>
      <c r="C143" s="91" t="s">
        <v>193</v>
      </c>
      <c r="D143" s="92"/>
      <c r="E143" s="92"/>
      <c r="F143" s="95">
        <f t="shared" ref="F143:AJ143" si="82">E143+F141</f>
        <v>0</v>
      </c>
      <c r="G143" s="95">
        <f t="shared" si="82"/>
        <v>0</v>
      </c>
      <c r="H143" s="96">
        <f t="shared" si="82"/>
        <v>0</v>
      </c>
      <c r="I143" s="96">
        <f t="shared" si="82"/>
        <v>0</v>
      </c>
      <c r="J143" s="95">
        <f t="shared" si="82"/>
        <v>0</v>
      </c>
      <c r="K143" s="95">
        <f t="shared" si="82"/>
        <v>0</v>
      </c>
      <c r="L143" s="95">
        <f t="shared" si="82"/>
        <v>0</v>
      </c>
      <c r="M143" s="95">
        <f t="shared" si="82"/>
        <v>0</v>
      </c>
      <c r="N143" s="95">
        <v>0</v>
      </c>
      <c r="O143" s="115">
        <f t="shared" si="82"/>
        <v>0</v>
      </c>
      <c r="P143" s="115">
        <f t="shared" si="82"/>
        <v>0</v>
      </c>
      <c r="Q143" s="115">
        <f t="shared" si="82"/>
        <v>0</v>
      </c>
      <c r="R143" s="95">
        <f t="shared" si="82"/>
        <v>0</v>
      </c>
      <c r="S143" s="95">
        <f t="shared" si="82"/>
        <v>0</v>
      </c>
      <c r="T143" s="95">
        <f t="shared" si="82"/>
        <v>0</v>
      </c>
      <c r="U143" s="95">
        <f t="shared" si="82"/>
        <v>0</v>
      </c>
      <c r="V143" s="96">
        <f t="shared" si="82"/>
        <v>0</v>
      </c>
      <c r="W143" s="123">
        <f t="shared" si="82"/>
        <v>0</v>
      </c>
      <c r="X143" s="128">
        <f t="shared" si="82"/>
        <v>0</v>
      </c>
      <c r="Y143" s="128">
        <f t="shared" si="82"/>
        <v>0</v>
      </c>
      <c r="Z143" s="128">
        <f t="shared" si="82"/>
        <v>0</v>
      </c>
      <c r="AA143" s="128">
        <f t="shared" si="82"/>
        <v>0</v>
      </c>
      <c r="AB143" s="128">
        <f t="shared" si="82"/>
        <v>0</v>
      </c>
      <c r="AC143" s="96">
        <f t="shared" si="82"/>
        <v>0</v>
      </c>
      <c r="AD143" s="96">
        <f t="shared" si="82"/>
        <v>0</v>
      </c>
      <c r="AE143" s="95">
        <f t="shared" si="82"/>
        <v>0</v>
      </c>
      <c r="AF143" s="95">
        <f t="shared" si="82"/>
        <v>0</v>
      </c>
      <c r="AG143" s="95">
        <f t="shared" si="82"/>
        <v>0</v>
      </c>
      <c r="AH143" s="95">
        <f t="shared" si="82"/>
        <v>0</v>
      </c>
      <c r="AI143" s="139">
        <f t="shared" si="82"/>
        <v>0</v>
      </c>
      <c r="AJ143" s="154">
        <f t="shared" si="82"/>
        <v>0</v>
      </c>
    </row>
    <row r="144" ht="18" customHeight="1" spans="2:36">
      <c r="B144" s="164"/>
      <c r="C144" s="102" t="s">
        <v>194</v>
      </c>
      <c r="D144" s="103"/>
      <c r="E144" s="103"/>
      <c r="F144" s="104" t="str">
        <f t="shared" ref="F144:AJ144" si="83">IF(F141&gt;0,F141/F140,"")</f>
        <v/>
      </c>
      <c r="G144" s="104" t="str">
        <f t="shared" si="83"/>
        <v/>
      </c>
      <c r="H144" s="105" t="str">
        <f t="shared" si="83"/>
        <v/>
      </c>
      <c r="I144" s="105" t="str">
        <f t="shared" si="83"/>
        <v/>
      </c>
      <c r="J144" s="104" t="str">
        <f t="shared" si="83"/>
        <v/>
      </c>
      <c r="K144" s="104" t="str">
        <f t="shared" si="83"/>
        <v/>
      </c>
      <c r="L144" s="104" t="str">
        <f t="shared" si="83"/>
        <v/>
      </c>
      <c r="M144" s="104" t="str">
        <f t="shared" si="83"/>
        <v/>
      </c>
      <c r="N144" s="104" t="s">
        <v>195</v>
      </c>
      <c r="O144" s="116" t="str">
        <f t="shared" si="83"/>
        <v/>
      </c>
      <c r="P144" s="116" t="str">
        <f t="shared" si="83"/>
        <v/>
      </c>
      <c r="Q144" s="116" t="str">
        <f t="shared" si="83"/>
        <v/>
      </c>
      <c r="R144" s="104" t="str">
        <f t="shared" si="83"/>
        <v/>
      </c>
      <c r="S144" s="104" t="str">
        <f t="shared" si="83"/>
        <v/>
      </c>
      <c r="T144" s="104" t="str">
        <f t="shared" si="83"/>
        <v/>
      </c>
      <c r="U144" s="104" t="str">
        <f t="shared" si="83"/>
        <v/>
      </c>
      <c r="V144" s="105" t="str">
        <f t="shared" si="83"/>
        <v/>
      </c>
      <c r="W144" s="105" t="str">
        <f t="shared" si="83"/>
        <v/>
      </c>
      <c r="X144" s="104" t="str">
        <f t="shared" si="83"/>
        <v/>
      </c>
      <c r="Y144" s="104" t="str">
        <f t="shared" si="83"/>
        <v/>
      </c>
      <c r="Z144" s="142" t="str">
        <f t="shared" si="83"/>
        <v/>
      </c>
      <c r="AA144" s="104" t="str">
        <f t="shared" si="83"/>
        <v/>
      </c>
      <c r="AB144" s="104" t="str">
        <f t="shared" si="83"/>
        <v/>
      </c>
      <c r="AC144" s="105" t="str">
        <f t="shared" si="83"/>
        <v/>
      </c>
      <c r="AD144" s="105" t="str">
        <f t="shared" si="83"/>
        <v/>
      </c>
      <c r="AE144" s="104" t="str">
        <f t="shared" si="83"/>
        <v/>
      </c>
      <c r="AF144" s="104" t="str">
        <f t="shared" si="83"/>
        <v/>
      </c>
      <c r="AG144" s="104" t="str">
        <f t="shared" si="83"/>
        <v/>
      </c>
      <c r="AH144" s="104" t="str">
        <f t="shared" si="83"/>
        <v/>
      </c>
      <c r="AI144" s="155" t="str">
        <f t="shared" si="83"/>
        <v/>
      </c>
      <c r="AJ144" s="156" t="str">
        <f t="shared" si="83"/>
        <v/>
      </c>
    </row>
    <row r="145" ht="18" customHeight="1" outlineLevel="1" spans="2:36">
      <c r="B145" s="161" t="s">
        <v>81</v>
      </c>
      <c r="C145" s="86" t="s">
        <v>185</v>
      </c>
      <c r="D145" s="87"/>
      <c r="E145" s="87"/>
      <c r="F145" s="88"/>
      <c r="G145" s="88"/>
      <c r="H145" s="89"/>
      <c r="I145" s="89"/>
      <c r="J145" s="88"/>
      <c r="K145" s="88"/>
      <c r="L145" s="117"/>
      <c r="M145" s="88"/>
      <c r="N145" s="88">
        <v>1</v>
      </c>
      <c r="O145" s="113">
        <v>0</v>
      </c>
      <c r="P145" s="113">
        <v>1</v>
      </c>
      <c r="Q145" s="113">
        <v>1</v>
      </c>
      <c r="R145" s="88">
        <v>1</v>
      </c>
      <c r="S145" s="88">
        <v>1</v>
      </c>
      <c r="T145" s="88">
        <v>1</v>
      </c>
      <c r="U145" s="88">
        <v>0.2</v>
      </c>
      <c r="V145" s="89">
        <v>1</v>
      </c>
      <c r="W145" s="122">
        <v>1</v>
      </c>
      <c r="X145" s="88">
        <v>1</v>
      </c>
      <c r="Y145" s="88">
        <v>1</v>
      </c>
      <c r="Z145" s="88">
        <v>1</v>
      </c>
      <c r="AA145" s="88">
        <v>1</v>
      </c>
      <c r="AB145" s="88">
        <v>1</v>
      </c>
      <c r="AC145" s="89"/>
      <c r="AD145" s="89"/>
      <c r="AE145" s="88"/>
      <c r="AF145" s="88">
        <v>1</v>
      </c>
      <c r="AG145" s="88"/>
      <c r="AH145" s="88"/>
      <c r="AI145" s="157"/>
      <c r="AJ145" s="158"/>
    </row>
    <row r="146" ht="18" customHeight="1" outlineLevel="1" spans="2:36">
      <c r="B146" s="161"/>
      <c r="C146" s="91" t="s">
        <v>186</v>
      </c>
      <c r="D146" s="92"/>
      <c r="E146" s="92"/>
      <c r="F146" s="93">
        <v>42</v>
      </c>
      <c r="G146" s="93">
        <v>42</v>
      </c>
      <c r="H146" s="94">
        <v>42</v>
      </c>
      <c r="I146" s="94">
        <v>42</v>
      </c>
      <c r="J146" s="93">
        <v>42</v>
      </c>
      <c r="K146" s="93">
        <v>42</v>
      </c>
      <c r="L146" s="95">
        <v>42</v>
      </c>
      <c r="M146" s="93">
        <v>42</v>
      </c>
      <c r="N146" s="93">
        <v>42</v>
      </c>
      <c r="O146" s="114">
        <v>42</v>
      </c>
      <c r="P146" s="114">
        <v>42</v>
      </c>
      <c r="Q146" s="114">
        <v>42</v>
      </c>
      <c r="R146" s="93">
        <v>42</v>
      </c>
      <c r="S146" s="93">
        <v>42</v>
      </c>
      <c r="T146" s="93">
        <v>42</v>
      </c>
      <c r="U146" s="93">
        <v>42</v>
      </c>
      <c r="V146" s="94">
        <v>42</v>
      </c>
      <c r="W146" s="96">
        <v>42</v>
      </c>
      <c r="X146" s="93">
        <v>42</v>
      </c>
      <c r="Y146" s="93">
        <v>42</v>
      </c>
      <c r="Z146" s="93">
        <v>42</v>
      </c>
      <c r="AA146" s="93">
        <v>42</v>
      </c>
      <c r="AB146" s="93">
        <v>42</v>
      </c>
      <c r="AC146" s="94">
        <v>42</v>
      </c>
      <c r="AD146" s="94">
        <v>42</v>
      </c>
      <c r="AE146" s="93">
        <v>42</v>
      </c>
      <c r="AF146" s="93">
        <v>42</v>
      </c>
      <c r="AG146" s="93">
        <v>42</v>
      </c>
      <c r="AH146" s="93">
        <v>42</v>
      </c>
      <c r="AI146" s="139">
        <v>42</v>
      </c>
      <c r="AJ146" s="154">
        <v>42</v>
      </c>
    </row>
    <row r="147" ht="18" customHeight="1" outlineLevel="1" spans="2:36">
      <c r="B147" s="161"/>
      <c r="C147" s="91" t="s">
        <v>187</v>
      </c>
      <c r="D147" s="92"/>
      <c r="E147" s="92"/>
      <c r="F147" s="93">
        <f t="shared" ref="F147:AJ147" si="84">F145*F146</f>
        <v>0</v>
      </c>
      <c r="G147" s="93">
        <f t="shared" si="84"/>
        <v>0</v>
      </c>
      <c r="H147" s="94">
        <f t="shared" si="84"/>
        <v>0</v>
      </c>
      <c r="I147" s="94">
        <f t="shared" si="84"/>
        <v>0</v>
      </c>
      <c r="J147" s="93">
        <f t="shared" si="84"/>
        <v>0</v>
      </c>
      <c r="K147" s="93">
        <f t="shared" si="84"/>
        <v>0</v>
      </c>
      <c r="L147" s="95">
        <f t="shared" si="84"/>
        <v>0</v>
      </c>
      <c r="M147" s="93">
        <f t="shared" si="84"/>
        <v>0</v>
      </c>
      <c r="N147" s="93">
        <v>42</v>
      </c>
      <c r="O147" s="114">
        <f t="shared" si="84"/>
        <v>0</v>
      </c>
      <c r="P147" s="114">
        <f t="shared" si="84"/>
        <v>42</v>
      </c>
      <c r="Q147" s="114">
        <f t="shared" si="84"/>
        <v>42</v>
      </c>
      <c r="R147" s="93">
        <f t="shared" si="84"/>
        <v>42</v>
      </c>
      <c r="S147" s="93">
        <f t="shared" si="84"/>
        <v>42</v>
      </c>
      <c r="T147" s="93">
        <f t="shared" si="84"/>
        <v>42</v>
      </c>
      <c r="U147" s="93">
        <f t="shared" si="84"/>
        <v>8.4</v>
      </c>
      <c r="V147" s="94">
        <f t="shared" si="84"/>
        <v>42</v>
      </c>
      <c r="W147" s="96">
        <f t="shared" si="84"/>
        <v>42</v>
      </c>
      <c r="X147" s="93">
        <f t="shared" si="84"/>
        <v>42</v>
      </c>
      <c r="Y147" s="93">
        <f t="shared" si="84"/>
        <v>42</v>
      </c>
      <c r="Z147" s="93">
        <f t="shared" si="84"/>
        <v>42</v>
      </c>
      <c r="AA147" s="93">
        <f t="shared" si="84"/>
        <v>42</v>
      </c>
      <c r="AB147" s="93">
        <f t="shared" si="84"/>
        <v>42</v>
      </c>
      <c r="AC147" s="94">
        <f t="shared" si="84"/>
        <v>0</v>
      </c>
      <c r="AD147" s="94">
        <f t="shared" si="84"/>
        <v>0</v>
      </c>
      <c r="AE147" s="93">
        <f t="shared" si="84"/>
        <v>0</v>
      </c>
      <c r="AF147" s="93">
        <f t="shared" si="84"/>
        <v>42</v>
      </c>
      <c r="AG147" s="93">
        <f t="shared" si="84"/>
        <v>0</v>
      </c>
      <c r="AH147" s="93">
        <f t="shared" si="84"/>
        <v>0</v>
      </c>
      <c r="AI147" s="139">
        <f t="shared" si="84"/>
        <v>0</v>
      </c>
      <c r="AJ147" s="154">
        <f t="shared" si="84"/>
        <v>0</v>
      </c>
    </row>
    <row r="148" ht="18" customHeight="1" outlineLevel="1" spans="2:36">
      <c r="B148" s="161"/>
      <c r="C148" s="91" t="s">
        <v>188</v>
      </c>
      <c r="D148" s="92"/>
      <c r="E148" s="92"/>
      <c r="F148" s="93">
        <v>0</v>
      </c>
      <c r="G148" s="93"/>
      <c r="H148" s="94">
        <v>1</v>
      </c>
      <c r="I148" s="94">
        <v>8</v>
      </c>
      <c r="J148" s="93">
        <v>8</v>
      </c>
      <c r="K148" s="93">
        <v>11.5</v>
      </c>
      <c r="L148" s="93">
        <v>11.5</v>
      </c>
      <c r="M148" s="93">
        <v>11.5</v>
      </c>
      <c r="N148" s="93">
        <v>11.5</v>
      </c>
      <c r="O148" s="114">
        <v>11.5</v>
      </c>
      <c r="P148" s="114">
        <v>8</v>
      </c>
      <c r="Q148" s="114">
        <v>8</v>
      </c>
      <c r="R148" s="93">
        <v>8</v>
      </c>
      <c r="S148" s="93">
        <v>11.5</v>
      </c>
      <c r="T148" s="93">
        <v>11.5</v>
      </c>
      <c r="U148" s="93">
        <v>8</v>
      </c>
      <c r="V148" s="94">
        <v>8</v>
      </c>
      <c r="W148" s="96">
        <v>8</v>
      </c>
      <c r="X148" s="93">
        <v>11.5</v>
      </c>
      <c r="Y148" s="93">
        <v>8</v>
      </c>
      <c r="Z148" s="93">
        <v>12</v>
      </c>
      <c r="AA148" s="93">
        <v>11.5</v>
      </c>
      <c r="AB148" s="93">
        <v>8</v>
      </c>
      <c r="AC148" s="94">
        <v>11.5</v>
      </c>
      <c r="AD148" s="94">
        <v>11.5</v>
      </c>
      <c r="AE148" s="93">
        <v>11.5</v>
      </c>
      <c r="AF148" s="93">
        <v>4</v>
      </c>
      <c r="AG148" s="93">
        <v>8</v>
      </c>
      <c r="AH148" s="93">
        <v>11.5</v>
      </c>
      <c r="AI148" s="139">
        <v>11.5</v>
      </c>
      <c r="AJ148" s="154">
        <v>11.5</v>
      </c>
    </row>
    <row r="149" ht="18" customHeight="1" outlineLevel="1" spans="2:36">
      <c r="B149" s="161"/>
      <c r="C149" s="91" t="s">
        <v>189</v>
      </c>
      <c r="D149" s="92"/>
      <c r="E149" s="92"/>
      <c r="F149" s="93">
        <v>700</v>
      </c>
      <c r="G149" s="93">
        <v>700</v>
      </c>
      <c r="H149" s="94">
        <v>700</v>
      </c>
      <c r="I149" s="94">
        <v>700</v>
      </c>
      <c r="J149" s="93">
        <v>700</v>
      </c>
      <c r="K149" s="93">
        <v>700</v>
      </c>
      <c r="L149" s="95">
        <v>700</v>
      </c>
      <c r="M149" s="93">
        <v>700</v>
      </c>
      <c r="N149" s="93">
        <v>700</v>
      </c>
      <c r="O149" s="114">
        <v>700</v>
      </c>
      <c r="P149" s="114">
        <v>700</v>
      </c>
      <c r="Q149" s="114">
        <v>700</v>
      </c>
      <c r="R149" s="93">
        <v>700</v>
      </c>
      <c r="S149" s="93">
        <v>700</v>
      </c>
      <c r="T149" s="93">
        <v>700</v>
      </c>
      <c r="U149" s="93">
        <v>700</v>
      </c>
      <c r="V149" s="94">
        <v>700</v>
      </c>
      <c r="W149" s="96">
        <v>700</v>
      </c>
      <c r="X149" s="93">
        <v>700</v>
      </c>
      <c r="Y149" s="93">
        <v>700</v>
      </c>
      <c r="Z149" s="93">
        <v>700</v>
      </c>
      <c r="AA149" s="93">
        <v>700</v>
      </c>
      <c r="AB149" s="93">
        <v>700</v>
      </c>
      <c r="AC149" s="94">
        <v>700</v>
      </c>
      <c r="AD149" s="94">
        <v>700</v>
      </c>
      <c r="AE149" s="93">
        <v>700</v>
      </c>
      <c r="AF149" s="93">
        <v>700</v>
      </c>
      <c r="AG149" s="93">
        <v>700</v>
      </c>
      <c r="AH149" s="93">
        <v>700</v>
      </c>
      <c r="AI149" s="139">
        <v>700</v>
      </c>
      <c r="AJ149" s="154">
        <v>700</v>
      </c>
    </row>
    <row r="150" ht="18" customHeight="1" outlineLevel="1" spans="2:36">
      <c r="B150" s="161"/>
      <c r="C150" s="91" t="s">
        <v>190</v>
      </c>
      <c r="D150" s="92">
        <v>40000</v>
      </c>
      <c r="E150" s="92">
        <f>SUM(F150:AI150)</f>
        <v>85417.5</v>
      </c>
      <c r="F150" s="95">
        <f>F145*F148*F149</f>
        <v>0</v>
      </c>
      <c r="G150" s="95">
        <f>G145*G148*G149*0.45</f>
        <v>0</v>
      </c>
      <c r="H150" s="96">
        <f>H145*H148*H149*0.35</f>
        <v>0</v>
      </c>
      <c r="I150" s="96">
        <f>I145*I148*I149</f>
        <v>0</v>
      </c>
      <c r="J150" s="95">
        <f>J145*J148*J149</f>
        <v>0</v>
      </c>
      <c r="K150" s="95">
        <f>K145*K148*K149*0.75</f>
        <v>0</v>
      </c>
      <c r="L150" s="95">
        <f>L145*L148*L149*0.85</f>
        <v>0</v>
      </c>
      <c r="M150" s="95">
        <f>M145*M148*M149*0.7</f>
        <v>0</v>
      </c>
      <c r="N150" s="95">
        <v>6037.5</v>
      </c>
      <c r="O150" s="115">
        <f>O145*O148*O149*0.95</f>
        <v>0</v>
      </c>
      <c r="P150" s="115">
        <f>P145*P148*P149*0.85</f>
        <v>4760</v>
      </c>
      <c r="Q150" s="115">
        <f>Q145*Q148*Q149*0.95</f>
        <v>5320</v>
      </c>
      <c r="R150" s="95">
        <f>R145*R148*R149</f>
        <v>5600</v>
      </c>
      <c r="S150" s="95">
        <f>S145*S148*S149*0.75</f>
        <v>6037.5</v>
      </c>
      <c r="T150" s="95">
        <f>T145*T148*T149*0.85</f>
        <v>6842.5</v>
      </c>
      <c r="U150" s="95">
        <f>U145*U148*U149</f>
        <v>1120</v>
      </c>
      <c r="V150" s="96">
        <f>V145*V148*V149</f>
        <v>5600</v>
      </c>
      <c r="W150" s="96">
        <f t="shared" ref="W150:AJ150" si="85">W145*W148*W149</f>
        <v>5600</v>
      </c>
      <c r="X150" s="95">
        <f t="shared" si="85"/>
        <v>8050</v>
      </c>
      <c r="Y150" s="95">
        <f t="shared" si="85"/>
        <v>5600</v>
      </c>
      <c r="Z150" s="95">
        <f t="shared" si="85"/>
        <v>8400</v>
      </c>
      <c r="AA150" s="95">
        <f t="shared" si="85"/>
        <v>8050</v>
      </c>
      <c r="AB150" s="95">
        <f t="shared" si="85"/>
        <v>5600</v>
      </c>
      <c r="AC150" s="96">
        <f t="shared" si="85"/>
        <v>0</v>
      </c>
      <c r="AD150" s="96">
        <f t="shared" si="85"/>
        <v>0</v>
      </c>
      <c r="AE150" s="95">
        <f t="shared" si="85"/>
        <v>0</v>
      </c>
      <c r="AF150" s="95">
        <f t="shared" si="85"/>
        <v>2800</v>
      </c>
      <c r="AG150" s="95">
        <f t="shared" si="85"/>
        <v>0</v>
      </c>
      <c r="AH150" s="95">
        <f t="shared" si="85"/>
        <v>0</v>
      </c>
      <c r="AI150" s="139">
        <f t="shared" si="85"/>
        <v>0</v>
      </c>
      <c r="AJ150" s="154">
        <f t="shared" si="85"/>
        <v>0</v>
      </c>
    </row>
    <row r="151" ht="18" customHeight="1" outlineLevel="1" spans="2:36">
      <c r="B151" s="162"/>
      <c r="C151" s="91" t="s">
        <v>191</v>
      </c>
      <c r="D151" s="92"/>
      <c r="E151" s="108">
        <f>SUM(F151:AJ151)</f>
        <v>72960</v>
      </c>
      <c r="F151" s="98"/>
      <c r="G151" s="99"/>
      <c r="H151" s="100"/>
      <c r="I151" s="100"/>
      <c r="J151" s="99"/>
      <c r="K151" s="99"/>
      <c r="L151" s="95"/>
      <c r="M151" s="95"/>
      <c r="N151" s="95">
        <v>5880</v>
      </c>
      <c r="O151" s="115"/>
      <c r="P151" s="115">
        <v>4760</v>
      </c>
      <c r="Q151" s="115">
        <v>5320</v>
      </c>
      <c r="R151" s="95">
        <v>5910</v>
      </c>
      <c r="S151" s="95">
        <v>5980</v>
      </c>
      <c r="T151" s="95">
        <v>5600</v>
      </c>
      <c r="U151" s="95">
        <v>1000</v>
      </c>
      <c r="V151" s="96">
        <v>5250</v>
      </c>
      <c r="W151" s="96">
        <v>3960</v>
      </c>
      <c r="X151" s="95">
        <v>7980</v>
      </c>
      <c r="Y151" s="128">
        <v>2700</v>
      </c>
      <c r="Z151" s="95">
        <v>5400</v>
      </c>
      <c r="AA151" s="95">
        <v>8400</v>
      </c>
      <c r="AB151" s="95">
        <v>1920</v>
      </c>
      <c r="AC151" s="96">
        <v>100</v>
      </c>
      <c r="AD151" s="96"/>
      <c r="AE151" s="95"/>
      <c r="AF151" s="139">
        <v>2800</v>
      </c>
      <c r="AG151" s="95"/>
      <c r="AH151" s="139"/>
      <c r="AI151" s="139"/>
      <c r="AJ151" s="154"/>
    </row>
    <row r="152" ht="18" customHeight="1" outlineLevel="1" spans="2:36">
      <c r="B152" s="161"/>
      <c r="C152" s="91" t="s">
        <v>192</v>
      </c>
      <c r="D152" s="92"/>
      <c r="E152" s="92"/>
      <c r="F152" s="95">
        <f t="shared" ref="F152:AJ152" si="86">F151-F150</f>
        <v>0</v>
      </c>
      <c r="G152" s="95">
        <f t="shared" si="86"/>
        <v>0</v>
      </c>
      <c r="H152" s="96">
        <f t="shared" si="86"/>
        <v>0</v>
      </c>
      <c r="I152" s="96">
        <f t="shared" si="86"/>
        <v>0</v>
      </c>
      <c r="J152" s="95">
        <f t="shared" si="86"/>
        <v>0</v>
      </c>
      <c r="K152" s="95">
        <f t="shared" si="86"/>
        <v>0</v>
      </c>
      <c r="L152" s="95">
        <f t="shared" si="86"/>
        <v>0</v>
      </c>
      <c r="M152" s="95">
        <f t="shared" si="86"/>
        <v>0</v>
      </c>
      <c r="N152" s="95">
        <v>-157.5</v>
      </c>
      <c r="O152" s="115">
        <f t="shared" si="86"/>
        <v>0</v>
      </c>
      <c r="P152" s="115">
        <f t="shared" si="86"/>
        <v>0</v>
      </c>
      <c r="Q152" s="115">
        <f t="shared" si="86"/>
        <v>0</v>
      </c>
      <c r="R152" s="95">
        <f t="shared" si="86"/>
        <v>310</v>
      </c>
      <c r="S152" s="95">
        <f t="shared" si="86"/>
        <v>-57.5</v>
      </c>
      <c r="T152" s="95">
        <f t="shared" si="86"/>
        <v>-1242.5</v>
      </c>
      <c r="U152" s="95">
        <f t="shared" si="86"/>
        <v>-120</v>
      </c>
      <c r="V152" s="96">
        <f t="shared" si="86"/>
        <v>-350</v>
      </c>
      <c r="W152" s="123">
        <f t="shared" si="86"/>
        <v>-1640</v>
      </c>
      <c r="X152" s="128">
        <f t="shared" si="86"/>
        <v>-70</v>
      </c>
      <c r="Y152" s="128">
        <f t="shared" si="86"/>
        <v>-2900</v>
      </c>
      <c r="Z152" s="128">
        <f t="shared" si="86"/>
        <v>-3000</v>
      </c>
      <c r="AA152" s="128">
        <f t="shared" si="86"/>
        <v>350</v>
      </c>
      <c r="AB152" s="128">
        <f t="shared" si="86"/>
        <v>-3680</v>
      </c>
      <c r="AC152" s="96">
        <f t="shared" si="86"/>
        <v>100</v>
      </c>
      <c r="AD152" s="96">
        <f t="shared" si="86"/>
        <v>0</v>
      </c>
      <c r="AE152" s="95">
        <f t="shared" si="86"/>
        <v>0</v>
      </c>
      <c r="AF152" s="139">
        <f t="shared" si="86"/>
        <v>0</v>
      </c>
      <c r="AG152" s="95">
        <f t="shared" si="86"/>
        <v>0</v>
      </c>
      <c r="AH152" s="139">
        <f t="shared" si="86"/>
        <v>0</v>
      </c>
      <c r="AI152" s="139">
        <f t="shared" si="86"/>
        <v>0</v>
      </c>
      <c r="AJ152" s="154">
        <f t="shared" si="86"/>
        <v>0</v>
      </c>
    </row>
    <row r="153" ht="18" customHeight="1" outlineLevel="1" spans="2:36">
      <c r="B153" s="161"/>
      <c r="C153" s="91" t="s">
        <v>193</v>
      </c>
      <c r="D153" s="92"/>
      <c r="E153" s="92"/>
      <c r="F153" s="95">
        <f t="shared" ref="F153:AJ153" si="87">E153+F151</f>
        <v>0</v>
      </c>
      <c r="G153" s="95">
        <f t="shared" si="87"/>
        <v>0</v>
      </c>
      <c r="H153" s="96">
        <f t="shared" si="87"/>
        <v>0</v>
      </c>
      <c r="I153" s="96">
        <f t="shared" si="87"/>
        <v>0</v>
      </c>
      <c r="J153" s="95">
        <f t="shared" si="87"/>
        <v>0</v>
      </c>
      <c r="K153" s="95">
        <f t="shared" si="87"/>
        <v>0</v>
      </c>
      <c r="L153" s="95">
        <f t="shared" si="87"/>
        <v>0</v>
      </c>
      <c r="M153" s="95">
        <f t="shared" si="87"/>
        <v>0</v>
      </c>
      <c r="N153" s="95">
        <v>5880</v>
      </c>
      <c r="O153" s="115">
        <f t="shared" si="87"/>
        <v>5880</v>
      </c>
      <c r="P153" s="115">
        <f t="shared" si="87"/>
        <v>10640</v>
      </c>
      <c r="Q153" s="115">
        <f t="shared" si="87"/>
        <v>15960</v>
      </c>
      <c r="R153" s="95">
        <f t="shared" si="87"/>
        <v>21870</v>
      </c>
      <c r="S153" s="95">
        <f t="shared" si="87"/>
        <v>27850</v>
      </c>
      <c r="T153" s="95">
        <f t="shared" si="87"/>
        <v>33450</v>
      </c>
      <c r="U153" s="95">
        <f t="shared" si="87"/>
        <v>34450</v>
      </c>
      <c r="V153" s="96">
        <f t="shared" si="87"/>
        <v>39700</v>
      </c>
      <c r="W153" s="123">
        <f t="shared" si="87"/>
        <v>43660</v>
      </c>
      <c r="X153" s="128">
        <f t="shared" si="87"/>
        <v>51640</v>
      </c>
      <c r="Y153" s="128">
        <f t="shared" si="87"/>
        <v>54340</v>
      </c>
      <c r="Z153" s="128">
        <f t="shared" si="87"/>
        <v>59740</v>
      </c>
      <c r="AA153" s="128">
        <f t="shared" si="87"/>
        <v>68140</v>
      </c>
      <c r="AB153" s="128">
        <f t="shared" si="87"/>
        <v>70060</v>
      </c>
      <c r="AC153" s="96">
        <f t="shared" si="87"/>
        <v>70160</v>
      </c>
      <c r="AD153" s="96">
        <f t="shared" si="87"/>
        <v>70160</v>
      </c>
      <c r="AE153" s="95">
        <f t="shared" si="87"/>
        <v>70160</v>
      </c>
      <c r="AF153" s="139">
        <f t="shared" si="87"/>
        <v>72960</v>
      </c>
      <c r="AG153" s="95">
        <f t="shared" si="87"/>
        <v>72960</v>
      </c>
      <c r="AH153" s="139">
        <f t="shared" si="87"/>
        <v>72960</v>
      </c>
      <c r="AI153" s="139">
        <f t="shared" si="87"/>
        <v>72960</v>
      </c>
      <c r="AJ153" s="154">
        <f t="shared" si="87"/>
        <v>72960</v>
      </c>
    </row>
    <row r="154" ht="18" customHeight="1" spans="2:36">
      <c r="B154" s="164"/>
      <c r="C154" s="102" t="s">
        <v>194</v>
      </c>
      <c r="D154" s="103"/>
      <c r="E154" s="103"/>
      <c r="F154" s="104" t="str">
        <f t="shared" ref="F154:AJ154" si="88">IF(F151&gt;0,F151/F150,"")</f>
        <v/>
      </c>
      <c r="G154" s="104" t="str">
        <f t="shared" si="88"/>
        <v/>
      </c>
      <c r="H154" s="105" t="str">
        <f t="shared" si="88"/>
        <v/>
      </c>
      <c r="I154" s="105" t="str">
        <f t="shared" si="88"/>
        <v/>
      </c>
      <c r="J154" s="104" t="str">
        <f t="shared" si="88"/>
        <v/>
      </c>
      <c r="K154" s="104" t="str">
        <f t="shared" si="88"/>
        <v/>
      </c>
      <c r="L154" s="104" t="str">
        <f t="shared" si="88"/>
        <v/>
      </c>
      <c r="M154" s="104" t="str">
        <f t="shared" si="88"/>
        <v/>
      </c>
      <c r="N154" s="104">
        <v>0.973913043478261</v>
      </c>
      <c r="O154" s="116" t="str">
        <f t="shared" si="88"/>
        <v/>
      </c>
      <c r="P154" s="116">
        <f t="shared" si="88"/>
        <v>1</v>
      </c>
      <c r="Q154" s="116">
        <f t="shared" si="88"/>
        <v>1</v>
      </c>
      <c r="R154" s="104">
        <f t="shared" si="88"/>
        <v>1.05535714285714</v>
      </c>
      <c r="S154" s="104">
        <f t="shared" si="88"/>
        <v>0.990476190476191</v>
      </c>
      <c r="T154" s="104">
        <f t="shared" si="88"/>
        <v>0.818414322250639</v>
      </c>
      <c r="U154" s="104">
        <f t="shared" si="88"/>
        <v>0.892857142857143</v>
      </c>
      <c r="V154" s="105">
        <f t="shared" si="88"/>
        <v>0.9375</v>
      </c>
      <c r="W154" s="105">
        <f t="shared" si="88"/>
        <v>0.707142857142857</v>
      </c>
      <c r="X154" s="104">
        <f t="shared" si="88"/>
        <v>0.991304347826087</v>
      </c>
      <c r="Y154" s="104">
        <f t="shared" si="88"/>
        <v>0.482142857142857</v>
      </c>
      <c r="Z154" s="142">
        <f t="shared" si="88"/>
        <v>0.642857142857143</v>
      </c>
      <c r="AA154" s="104">
        <f t="shared" si="88"/>
        <v>1.04347826086957</v>
      </c>
      <c r="AB154" s="104">
        <f t="shared" si="88"/>
        <v>0.342857142857143</v>
      </c>
      <c r="AC154" s="105" t="e">
        <f t="shared" si="88"/>
        <v>#DIV/0!</v>
      </c>
      <c r="AD154" s="105" t="str">
        <f t="shared" si="88"/>
        <v/>
      </c>
      <c r="AE154" s="104" t="str">
        <f t="shared" si="88"/>
        <v/>
      </c>
      <c r="AF154" s="141">
        <f t="shared" si="88"/>
        <v>1</v>
      </c>
      <c r="AG154" s="104" t="str">
        <f t="shared" si="88"/>
        <v/>
      </c>
      <c r="AH154" s="104" t="str">
        <f t="shared" si="88"/>
        <v/>
      </c>
      <c r="AI154" s="155" t="str">
        <f t="shared" si="88"/>
        <v/>
      </c>
      <c r="AJ154" s="156" t="str">
        <f t="shared" si="88"/>
        <v/>
      </c>
    </row>
    <row r="155" ht="18" customHeight="1" outlineLevel="1" spans="2:36">
      <c r="B155" s="161" t="s">
        <v>141</v>
      </c>
      <c r="C155" s="86" t="s">
        <v>185</v>
      </c>
      <c r="D155" s="87"/>
      <c r="E155" s="87"/>
      <c r="F155" s="88"/>
      <c r="G155" s="88"/>
      <c r="H155" s="89"/>
      <c r="I155" s="89"/>
      <c r="J155" s="88"/>
      <c r="K155" s="88"/>
      <c r="L155" s="117"/>
      <c r="M155" s="88">
        <v>1</v>
      </c>
      <c r="N155" s="88">
        <v>1</v>
      </c>
      <c r="O155" s="113"/>
      <c r="P155" s="113">
        <v>1</v>
      </c>
      <c r="Q155" s="113">
        <v>1</v>
      </c>
      <c r="R155" s="88">
        <v>1</v>
      </c>
      <c r="S155" s="88">
        <v>1</v>
      </c>
      <c r="T155" s="88"/>
      <c r="U155" s="88">
        <v>1</v>
      </c>
      <c r="V155" s="89"/>
      <c r="W155" s="143">
        <v>1</v>
      </c>
      <c r="X155" s="168">
        <v>1</v>
      </c>
      <c r="Y155" s="168">
        <v>1</v>
      </c>
      <c r="Z155" s="88">
        <v>1</v>
      </c>
      <c r="AA155" s="88">
        <v>1</v>
      </c>
      <c r="AB155" s="88">
        <v>2</v>
      </c>
      <c r="AC155" s="89">
        <v>2</v>
      </c>
      <c r="AD155" s="89">
        <v>2</v>
      </c>
      <c r="AE155" s="88">
        <v>2</v>
      </c>
      <c r="AF155" s="88">
        <v>2</v>
      </c>
      <c r="AG155" s="88">
        <v>2</v>
      </c>
      <c r="AH155" s="88">
        <v>2</v>
      </c>
      <c r="AI155" s="157">
        <v>2</v>
      </c>
      <c r="AJ155" s="158"/>
    </row>
    <row r="156" ht="18" customHeight="1" outlineLevel="1" spans="2:36">
      <c r="B156" s="161"/>
      <c r="C156" s="91" t="s">
        <v>186</v>
      </c>
      <c r="D156" s="92"/>
      <c r="E156" s="92"/>
      <c r="F156" s="93">
        <v>42</v>
      </c>
      <c r="G156" s="93">
        <v>42</v>
      </c>
      <c r="H156" s="94">
        <v>42</v>
      </c>
      <c r="I156" s="94">
        <v>42</v>
      </c>
      <c r="J156" s="93">
        <v>42</v>
      </c>
      <c r="K156" s="93">
        <v>42</v>
      </c>
      <c r="L156" s="95">
        <v>42</v>
      </c>
      <c r="M156" s="93">
        <v>42</v>
      </c>
      <c r="N156" s="93">
        <v>42</v>
      </c>
      <c r="O156" s="114">
        <v>42</v>
      </c>
      <c r="P156" s="114">
        <v>42</v>
      </c>
      <c r="Q156" s="114">
        <v>42</v>
      </c>
      <c r="R156" s="93">
        <v>42</v>
      </c>
      <c r="S156" s="93">
        <v>42</v>
      </c>
      <c r="T156" s="93">
        <v>42</v>
      </c>
      <c r="U156" s="93">
        <v>42</v>
      </c>
      <c r="V156" s="94">
        <v>42</v>
      </c>
      <c r="W156" s="96">
        <v>42</v>
      </c>
      <c r="X156" s="93">
        <v>42</v>
      </c>
      <c r="Y156" s="93">
        <v>42</v>
      </c>
      <c r="Z156" s="93">
        <v>42</v>
      </c>
      <c r="AA156" s="93">
        <v>42</v>
      </c>
      <c r="AB156" s="93">
        <v>42</v>
      </c>
      <c r="AC156" s="94">
        <v>42</v>
      </c>
      <c r="AD156" s="94">
        <v>42</v>
      </c>
      <c r="AE156" s="93">
        <v>42</v>
      </c>
      <c r="AF156" s="93">
        <v>42</v>
      </c>
      <c r="AG156" s="93">
        <v>42</v>
      </c>
      <c r="AH156" s="93">
        <v>42</v>
      </c>
      <c r="AI156" s="139">
        <v>42</v>
      </c>
      <c r="AJ156" s="154">
        <v>42</v>
      </c>
    </row>
    <row r="157" ht="18" customHeight="1" outlineLevel="1" spans="2:36">
      <c r="B157" s="161"/>
      <c r="C157" s="91" t="s">
        <v>187</v>
      </c>
      <c r="D157" s="92"/>
      <c r="E157" s="92"/>
      <c r="F157" s="93">
        <f t="shared" ref="F157:AJ157" si="89">F155*F156</f>
        <v>0</v>
      </c>
      <c r="G157" s="93">
        <f t="shared" si="89"/>
        <v>0</v>
      </c>
      <c r="H157" s="94">
        <f t="shared" si="89"/>
        <v>0</v>
      </c>
      <c r="I157" s="94">
        <f t="shared" si="89"/>
        <v>0</v>
      </c>
      <c r="J157" s="93">
        <f t="shared" si="89"/>
        <v>0</v>
      </c>
      <c r="K157" s="93">
        <f t="shared" si="89"/>
        <v>0</v>
      </c>
      <c r="L157" s="95">
        <f t="shared" si="89"/>
        <v>0</v>
      </c>
      <c r="M157" s="93">
        <f t="shared" si="89"/>
        <v>42</v>
      </c>
      <c r="N157" s="93">
        <v>42</v>
      </c>
      <c r="O157" s="114">
        <f t="shared" si="89"/>
        <v>0</v>
      </c>
      <c r="P157" s="114">
        <f t="shared" si="89"/>
        <v>42</v>
      </c>
      <c r="Q157" s="114">
        <f t="shared" si="89"/>
        <v>42</v>
      </c>
      <c r="R157" s="93">
        <f t="shared" si="89"/>
        <v>42</v>
      </c>
      <c r="S157" s="93">
        <f t="shared" si="89"/>
        <v>42</v>
      </c>
      <c r="T157" s="93">
        <f t="shared" si="89"/>
        <v>0</v>
      </c>
      <c r="U157" s="93">
        <f t="shared" si="89"/>
        <v>42</v>
      </c>
      <c r="V157" s="94">
        <f t="shared" si="89"/>
        <v>0</v>
      </c>
      <c r="W157" s="96">
        <f t="shared" si="89"/>
        <v>42</v>
      </c>
      <c r="X157" s="93">
        <f t="shared" si="89"/>
        <v>42</v>
      </c>
      <c r="Y157" s="93">
        <f t="shared" si="89"/>
        <v>42</v>
      </c>
      <c r="Z157" s="93">
        <f t="shared" si="89"/>
        <v>42</v>
      </c>
      <c r="AA157" s="93">
        <f t="shared" si="89"/>
        <v>42</v>
      </c>
      <c r="AB157" s="93">
        <f t="shared" si="89"/>
        <v>84</v>
      </c>
      <c r="AC157" s="94">
        <f t="shared" si="89"/>
        <v>84</v>
      </c>
      <c r="AD157" s="94">
        <f t="shared" si="89"/>
        <v>84</v>
      </c>
      <c r="AE157" s="93">
        <f t="shared" si="89"/>
        <v>84</v>
      </c>
      <c r="AF157" s="93">
        <f t="shared" si="89"/>
        <v>84</v>
      </c>
      <c r="AG157" s="93">
        <f t="shared" si="89"/>
        <v>84</v>
      </c>
      <c r="AH157" s="93">
        <f t="shared" si="89"/>
        <v>84</v>
      </c>
      <c r="AI157" s="139">
        <f t="shared" si="89"/>
        <v>84</v>
      </c>
      <c r="AJ157" s="154">
        <f t="shared" si="89"/>
        <v>0</v>
      </c>
    </row>
    <row r="158" ht="18" customHeight="1" outlineLevel="1" spans="2:36">
      <c r="B158" s="161"/>
      <c r="C158" s="91" t="s">
        <v>188</v>
      </c>
      <c r="D158" s="92"/>
      <c r="E158" s="92"/>
      <c r="F158" s="93">
        <v>11.5</v>
      </c>
      <c r="G158" s="93">
        <v>11.5</v>
      </c>
      <c r="H158" s="94">
        <v>11.5</v>
      </c>
      <c r="I158" s="94">
        <v>8</v>
      </c>
      <c r="J158" s="93">
        <v>8</v>
      </c>
      <c r="K158" s="93">
        <v>6</v>
      </c>
      <c r="L158" s="93">
        <v>8</v>
      </c>
      <c r="M158" s="93">
        <v>11.5</v>
      </c>
      <c r="N158" s="93">
        <v>11.5</v>
      </c>
      <c r="O158" s="114">
        <v>11.5</v>
      </c>
      <c r="P158" s="114">
        <v>11.5</v>
      </c>
      <c r="Q158" s="114">
        <v>11.5</v>
      </c>
      <c r="R158" s="93">
        <v>12</v>
      </c>
      <c r="S158" s="93">
        <v>11.5</v>
      </c>
      <c r="T158" s="93">
        <v>8</v>
      </c>
      <c r="U158" s="93">
        <v>11.5</v>
      </c>
      <c r="V158" s="94">
        <v>11.5</v>
      </c>
      <c r="W158" s="96">
        <v>8</v>
      </c>
      <c r="X158" s="93">
        <v>11.5</v>
      </c>
      <c r="Y158" s="93">
        <v>11.5</v>
      </c>
      <c r="Z158" s="93">
        <v>12</v>
      </c>
      <c r="AA158" s="93">
        <v>11.5</v>
      </c>
      <c r="AB158" s="93">
        <v>8</v>
      </c>
      <c r="AC158" s="94">
        <v>11.5</v>
      </c>
      <c r="AD158" s="94">
        <v>10</v>
      </c>
      <c r="AE158" s="93">
        <v>11.5</v>
      </c>
      <c r="AF158" s="93">
        <v>11.5</v>
      </c>
      <c r="AG158" s="93">
        <v>11.5</v>
      </c>
      <c r="AH158" s="93">
        <v>11.5</v>
      </c>
      <c r="AI158" s="139">
        <v>11.5</v>
      </c>
      <c r="AJ158" s="154">
        <v>11.5</v>
      </c>
    </row>
    <row r="159" ht="18" customHeight="1" outlineLevel="1" spans="2:36">
      <c r="B159" s="161"/>
      <c r="C159" s="91" t="s">
        <v>189</v>
      </c>
      <c r="D159" s="92"/>
      <c r="E159" s="92"/>
      <c r="F159" s="93">
        <v>700</v>
      </c>
      <c r="G159" s="93">
        <v>700</v>
      </c>
      <c r="H159" s="94">
        <v>700</v>
      </c>
      <c r="I159" s="94">
        <v>700</v>
      </c>
      <c r="J159" s="93">
        <v>700</v>
      </c>
      <c r="K159" s="93">
        <v>700</v>
      </c>
      <c r="L159" s="95">
        <v>700</v>
      </c>
      <c r="M159" s="93">
        <v>700</v>
      </c>
      <c r="N159" s="93">
        <v>700</v>
      </c>
      <c r="O159" s="114">
        <v>700</v>
      </c>
      <c r="P159" s="114">
        <v>700</v>
      </c>
      <c r="Q159" s="114">
        <v>700</v>
      </c>
      <c r="R159" s="93">
        <v>700</v>
      </c>
      <c r="S159" s="93">
        <v>700</v>
      </c>
      <c r="T159" s="93">
        <v>700</v>
      </c>
      <c r="U159" s="93">
        <v>700</v>
      </c>
      <c r="V159" s="94">
        <v>700</v>
      </c>
      <c r="W159" s="96">
        <v>700</v>
      </c>
      <c r="X159" s="93">
        <v>700</v>
      </c>
      <c r="Y159" s="93">
        <v>700</v>
      </c>
      <c r="Z159" s="93">
        <v>700</v>
      </c>
      <c r="AA159" s="93">
        <v>700</v>
      </c>
      <c r="AB159" s="93">
        <v>700</v>
      </c>
      <c r="AC159" s="94">
        <v>700</v>
      </c>
      <c r="AD159" s="94">
        <v>700</v>
      </c>
      <c r="AE159" s="93">
        <v>700</v>
      </c>
      <c r="AF159" s="93">
        <v>700</v>
      </c>
      <c r="AG159" s="93">
        <v>700</v>
      </c>
      <c r="AH159" s="93">
        <v>700</v>
      </c>
      <c r="AI159" s="139">
        <v>700</v>
      </c>
      <c r="AJ159" s="154">
        <v>700</v>
      </c>
    </row>
    <row r="160" ht="18" customHeight="1" outlineLevel="1" spans="2:36">
      <c r="B160" s="161"/>
      <c r="C160" s="91" t="s">
        <v>190</v>
      </c>
      <c r="D160" s="92">
        <v>430000</v>
      </c>
      <c r="E160" s="92">
        <f>SUM(F160:AI160)</f>
        <v>199577</v>
      </c>
      <c r="F160" s="95">
        <f t="shared" ref="F160:L160" si="90">F155*F158*F159</f>
        <v>0</v>
      </c>
      <c r="G160" s="95">
        <f>G155*G158*G159*0.45</f>
        <v>0</v>
      </c>
      <c r="H160" s="96">
        <f>H155*H158*H159*0.35</f>
        <v>0</v>
      </c>
      <c r="I160" s="96">
        <f t="shared" si="90"/>
        <v>0</v>
      </c>
      <c r="J160" s="95">
        <f t="shared" si="90"/>
        <v>0</v>
      </c>
      <c r="K160" s="95">
        <f t="shared" si="90"/>
        <v>0</v>
      </c>
      <c r="L160" s="95">
        <f t="shared" si="90"/>
        <v>0</v>
      </c>
      <c r="M160" s="95">
        <f>M155*M158*M159*0.75</f>
        <v>6037.5</v>
      </c>
      <c r="N160" s="95">
        <f>N155*N158*N159*0.85</f>
        <v>6842.5</v>
      </c>
      <c r="O160" s="115">
        <f>O155*O158*O159*0.95</f>
        <v>0</v>
      </c>
      <c r="P160" s="115">
        <f>P155*P158*P159*0.95</f>
        <v>7647.5</v>
      </c>
      <c r="Q160" s="115">
        <f>Q155*Q158*Q159</f>
        <v>8050</v>
      </c>
      <c r="R160" s="95">
        <f>R155*R158*R159*0.75</f>
        <v>6300</v>
      </c>
      <c r="S160" s="95">
        <f>S155*S158*S159*0.85</f>
        <v>6842.5</v>
      </c>
      <c r="T160" s="95">
        <f>T155*T158*T159*0.85</f>
        <v>0</v>
      </c>
      <c r="U160" s="95">
        <f>U155*U158*U159*0.95</f>
        <v>7647.5</v>
      </c>
      <c r="V160" s="96">
        <f>V155*V158*V159</f>
        <v>0</v>
      </c>
      <c r="W160" s="96">
        <f>W155*W158*W159</f>
        <v>5600</v>
      </c>
      <c r="X160" s="95">
        <f>X155*X158*X159*0.85</f>
        <v>6842.5</v>
      </c>
      <c r="Y160" s="95">
        <f>Y155*Y158*Y159*0.95</f>
        <v>7647.5</v>
      </c>
      <c r="Z160" s="95">
        <f>Z155*Z158*Z159</f>
        <v>8400</v>
      </c>
      <c r="AA160" s="95">
        <f>AA155*AA158*AA159*0.85</f>
        <v>6842.5</v>
      </c>
      <c r="AB160" s="95">
        <f>AB155*AB158*AB159</f>
        <v>11200</v>
      </c>
      <c r="AC160" s="96">
        <f>AC155*AC158*AC159</f>
        <v>16100</v>
      </c>
      <c r="AD160" s="96">
        <f>AD155*AD158*AD159</f>
        <v>14000</v>
      </c>
      <c r="AE160" s="95">
        <f>AE155*AE158*AE159*0.85</f>
        <v>13685</v>
      </c>
      <c r="AF160" s="95">
        <f>AF155*AF158*AF159*0.88</f>
        <v>14168</v>
      </c>
      <c r="AG160" s="95">
        <f>AG155*AG158*AG159*0.91</f>
        <v>14651</v>
      </c>
      <c r="AH160" s="95">
        <f>AH155*AH158*AH159*0.95</f>
        <v>15295</v>
      </c>
      <c r="AI160" s="139">
        <f>AI155*AI158*AI159*0.98</f>
        <v>15778</v>
      </c>
      <c r="AJ160" s="154">
        <f>AJ155*AJ158*AJ159</f>
        <v>0</v>
      </c>
    </row>
    <row r="161" ht="18" customHeight="1" outlineLevel="1" spans="2:36">
      <c r="B161" s="162"/>
      <c r="C161" s="91" t="s">
        <v>191</v>
      </c>
      <c r="D161" s="92"/>
      <c r="E161" s="108">
        <f>SUM(F161:AJ161)</f>
        <v>165988</v>
      </c>
      <c r="F161" s="98"/>
      <c r="G161" s="99"/>
      <c r="H161" s="100"/>
      <c r="I161" s="100"/>
      <c r="J161" s="99"/>
      <c r="K161" s="99"/>
      <c r="L161" s="95"/>
      <c r="M161" s="95">
        <v>4300</v>
      </c>
      <c r="N161" s="95">
        <v>7150</v>
      </c>
      <c r="O161" s="115"/>
      <c r="P161" s="115">
        <v>8000</v>
      </c>
      <c r="Q161" s="115">
        <v>5400</v>
      </c>
      <c r="R161" s="95">
        <v>7100</v>
      </c>
      <c r="S161" s="95">
        <v>7350</v>
      </c>
      <c r="T161" s="95"/>
      <c r="U161" s="166">
        <v>6800</v>
      </c>
      <c r="V161" s="166"/>
      <c r="W161" s="166">
        <v>5600</v>
      </c>
      <c r="X161" s="166">
        <v>8150</v>
      </c>
      <c r="Y161" s="170">
        <v>8400</v>
      </c>
      <c r="Z161" s="166">
        <v>8700</v>
      </c>
      <c r="AA161" s="166">
        <v>8423</v>
      </c>
      <c r="AB161" s="166">
        <v>8406</v>
      </c>
      <c r="AC161" s="166">
        <v>7000</v>
      </c>
      <c r="AD161" s="96">
        <v>16430</v>
      </c>
      <c r="AE161" s="95">
        <v>19969</v>
      </c>
      <c r="AF161" s="139">
        <v>14710</v>
      </c>
      <c r="AG161" s="95">
        <v>12000</v>
      </c>
      <c r="AH161" s="139"/>
      <c r="AI161" s="139">
        <v>2100</v>
      </c>
      <c r="AJ161" s="154"/>
    </row>
    <row r="162" ht="18" customHeight="1" outlineLevel="1" spans="2:36">
      <c r="B162" s="161"/>
      <c r="C162" s="91" t="s">
        <v>192</v>
      </c>
      <c r="D162" s="92"/>
      <c r="E162" s="92"/>
      <c r="F162" s="95">
        <f t="shared" ref="F162:AJ162" si="91">F161-F160</f>
        <v>0</v>
      </c>
      <c r="G162" s="95">
        <f t="shared" si="91"/>
        <v>0</v>
      </c>
      <c r="H162" s="96">
        <f t="shared" si="91"/>
        <v>0</v>
      </c>
      <c r="I162" s="96">
        <f t="shared" si="91"/>
        <v>0</v>
      </c>
      <c r="J162" s="95">
        <f t="shared" si="91"/>
        <v>0</v>
      </c>
      <c r="K162" s="95">
        <f t="shared" si="91"/>
        <v>0</v>
      </c>
      <c r="L162" s="95">
        <f t="shared" si="91"/>
        <v>0</v>
      </c>
      <c r="M162" s="95">
        <f t="shared" si="91"/>
        <v>-1737.5</v>
      </c>
      <c r="N162" s="95">
        <v>307.5</v>
      </c>
      <c r="O162" s="115">
        <f t="shared" si="91"/>
        <v>0</v>
      </c>
      <c r="P162" s="115">
        <f t="shared" si="91"/>
        <v>352.5</v>
      </c>
      <c r="Q162" s="115">
        <f t="shared" si="91"/>
        <v>-2650</v>
      </c>
      <c r="R162" s="95">
        <f t="shared" si="91"/>
        <v>800</v>
      </c>
      <c r="S162" s="95">
        <f t="shared" si="91"/>
        <v>507.5</v>
      </c>
      <c r="T162" s="95">
        <f t="shared" si="91"/>
        <v>0</v>
      </c>
      <c r="U162" s="95">
        <f t="shared" si="91"/>
        <v>-847.5</v>
      </c>
      <c r="V162" s="96">
        <f t="shared" si="91"/>
        <v>0</v>
      </c>
      <c r="W162" s="123">
        <f t="shared" si="91"/>
        <v>0</v>
      </c>
      <c r="X162" s="128">
        <f t="shared" si="91"/>
        <v>1307.5</v>
      </c>
      <c r="Y162" s="128">
        <f t="shared" si="91"/>
        <v>752.5</v>
      </c>
      <c r="Z162" s="128">
        <f t="shared" si="91"/>
        <v>300</v>
      </c>
      <c r="AA162" s="128">
        <f t="shared" si="91"/>
        <v>1580.5</v>
      </c>
      <c r="AB162" s="128">
        <f t="shared" si="91"/>
        <v>-2794</v>
      </c>
      <c r="AC162" s="96">
        <f t="shared" si="91"/>
        <v>-9100</v>
      </c>
      <c r="AD162" s="96">
        <f t="shared" si="91"/>
        <v>2430</v>
      </c>
      <c r="AE162" s="95">
        <f t="shared" si="91"/>
        <v>6284</v>
      </c>
      <c r="AF162" s="139">
        <f t="shared" si="91"/>
        <v>542</v>
      </c>
      <c r="AG162" s="95">
        <f t="shared" si="91"/>
        <v>-2651</v>
      </c>
      <c r="AH162" s="139">
        <f t="shared" si="91"/>
        <v>-15295</v>
      </c>
      <c r="AI162" s="139">
        <f t="shared" si="91"/>
        <v>-13678</v>
      </c>
      <c r="AJ162" s="154">
        <f t="shared" si="91"/>
        <v>0</v>
      </c>
    </row>
    <row r="163" ht="18" customHeight="1" outlineLevel="1" spans="2:36">
      <c r="B163" s="161"/>
      <c r="C163" s="91" t="s">
        <v>193</v>
      </c>
      <c r="D163" s="92"/>
      <c r="E163" s="92"/>
      <c r="F163" s="95">
        <f t="shared" ref="F163:AJ163" si="92">E163+F161</f>
        <v>0</v>
      </c>
      <c r="G163" s="95">
        <f t="shared" si="92"/>
        <v>0</v>
      </c>
      <c r="H163" s="96">
        <f t="shared" si="92"/>
        <v>0</v>
      </c>
      <c r="I163" s="96">
        <f t="shared" si="92"/>
        <v>0</v>
      </c>
      <c r="J163" s="95">
        <f t="shared" si="92"/>
        <v>0</v>
      </c>
      <c r="K163" s="95">
        <f t="shared" si="92"/>
        <v>0</v>
      </c>
      <c r="L163" s="95">
        <f t="shared" si="92"/>
        <v>0</v>
      </c>
      <c r="M163" s="95">
        <f t="shared" si="92"/>
        <v>4300</v>
      </c>
      <c r="N163" s="95">
        <v>11450</v>
      </c>
      <c r="O163" s="115">
        <f t="shared" si="92"/>
        <v>11450</v>
      </c>
      <c r="P163" s="115">
        <f t="shared" si="92"/>
        <v>19450</v>
      </c>
      <c r="Q163" s="115">
        <f t="shared" si="92"/>
        <v>24850</v>
      </c>
      <c r="R163" s="95">
        <f t="shared" si="92"/>
        <v>31950</v>
      </c>
      <c r="S163" s="95">
        <f t="shared" si="92"/>
        <v>39300</v>
      </c>
      <c r="T163" s="95">
        <f t="shared" si="92"/>
        <v>39300</v>
      </c>
      <c r="U163" s="95">
        <f t="shared" si="92"/>
        <v>46100</v>
      </c>
      <c r="V163" s="96">
        <f t="shared" si="92"/>
        <v>46100</v>
      </c>
      <c r="W163" s="123">
        <f t="shared" si="92"/>
        <v>51700</v>
      </c>
      <c r="X163" s="128">
        <f t="shared" si="92"/>
        <v>59850</v>
      </c>
      <c r="Y163" s="128">
        <f t="shared" si="92"/>
        <v>68250</v>
      </c>
      <c r="Z163" s="128">
        <f t="shared" si="92"/>
        <v>76950</v>
      </c>
      <c r="AA163" s="128">
        <f t="shared" si="92"/>
        <v>85373</v>
      </c>
      <c r="AB163" s="128">
        <f t="shared" si="92"/>
        <v>93779</v>
      </c>
      <c r="AC163" s="96">
        <f t="shared" si="92"/>
        <v>100779</v>
      </c>
      <c r="AD163" s="96">
        <f t="shared" si="92"/>
        <v>117209</v>
      </c>
      <c r="AE163" s="95">
        <f t="shared" si="92"/>
        <v>137178</v>
      </c>
      <c r="AF163" s="139">
        <f t="shared" si="92"/>
        <v>151888</v>
      </c>
      <c r="AG163" s="95">
        <f t="shared" si="92"/>
        <v>163888</v>
      </c>
      <c r="AH163" s="139">
        <f t="shared" si="92"/>
        <v>163888</v>
      </c>
      <c r="AI163" s="139">
        <f t="shared" si="92"/>
        <v>165988</v>
      </c>
      <c r="AJ163" s="154">
        <f t="shared" si="92"/>
        <v>165988</v>
      </c>
    </row>
    <row r="164" ht="18" customHeight="1" spans="2:36">
      <c r="B164" s="164"/>
      <c r="C164" s="102" t="s">
        <v>194</v>
      </c>
      <c r="D164" s="103"/>
      <c r="E164" s="103"/>
      <c r="F164" s="104" t="str">
        <f t="shared" ref="F164:AJ164" si="93">IF(F161&gt;0,F161/F160,"")</f>
        <v/>
      </c>
      <c r="G164" s="104" t="str">
        <f t="shared" si="93"/>
        <v/>
      </c>
      <c r="H164" s="105" t="str">
        <f t="shared" si="93"/>
        <v/>
      </c>
      <c r="I164" s="105" t="str">
        <f t="shared" si="93"/>
        <v/>
      </c>
      <c r="J164" s="104" t="str">
        <f t="shared" si="93"/>
        <v/>
      </c>
      <c r="K164" s="104" t="str">
        <f t="shared" si="93"/>
        <v/>
      </c>
      <c r="L164" s="104" t="str">
        <f t="shared" si="93"/>
        <v/>
      </c>
      <c r="M164" s="104">
        <f t="shared" si="93"/>
        <v>0.712215320910973</v>
      </c>
      <c r="N164" s="104">
        <v>1.04493971501644</v>
      </c>
      <c r="O164" s="116" t="str">
        <f t="shared" si="93"/>
        <v/>
      </c>
      <c r="P164" s="116">
        <f t="shared" si="93"/>
        <v>1.04609349460608</v>
      </c>
      <c r="Q164" s="116">
        <f t="shared" si="93"/>
        <v>0.670807453416149</v>
      </c>
      <c r="R164" s="104">
        <f t="shared" si="93"/>
        <v>1.12698412698413</v>
      </c>
      <c r="S164" s="104">
        <f t="shared" si="93"/>
        <v>1.07416879795396</v>
      </c>
      <c r="T164" s="104" t="str">
        <f t="shared" si="93"/>
        <v/>
      </c>
      <c r="U164" s="104">
        <f t="shared" si="93"/>
        <v>0.889179470415168</v>
      </c>
      <c r="V164" s="105" t="str">
        <f t="shared" si="93"/>
        <v/>
      </c>
      <c r="W164" s="105">
        <f t="shared" si="93"/>
        <v>1</v>
      </c>
      <c r="X164" s="104">
        <f t="shared" si="93"/>
        <v>1.19108512970406</v>
      </c>
      <c r="Y164" s="104">
        <f t="shared" si="93"/>
        <v>1.09839816933638</v>
      </c>
      <c r="Z164" s="142">
        <f t="shared" si="93"/>
        <v>1.03571428571429</v>
      </c>
      <c r="AA164" s="104">
        <f t="shared" si="93"/>
        <v>1.23098282791377</v>
      </c>
      <c r="AB164" s="104">
        <f t="shared" si="93"/>
        <v>0.750535714285714</v>
      </c>
      <c r="AC164" s="105">
        <f t="shared" si="93"/>
        <v>0.434782608695652</v>
      </c>
      <c r="AD164" s="105">
        <f t="shared" si="93"/>
        <v>1.17357142857143</v>
      </c>
      <c r="AE164" s="104">
        <f t="shared" si="93"/>
        <v>1.45918889294848</v>
      </c>
      <c r="AF164" s="141">
        <f t="shared" si="93"/>
        <v>1.03825522303783</v>
      </c>
      <c r="AG164" s="104">
        <f t="shared" si="93"/>
        <v>0.819056719677838</v>
      </c>
      <c r="AH164" s="104" t="str">
        <f t="shared" si="93"/>
        <v/>
      </c>
      <c r="AI164" s="155">
        <f t="shared" si="93"/>
        <v>0.133096716947649</v>
      </c>
      <c r="AJ164" s="156" t="str">
        <f t="shared" si="93"/>
        <v/>
      </c>
    </row>
    <row r="165" ht="18" customHeight="1" outlineLevel="1" spans="2:36">
      <c r="B165" s="161" t="s">
        <v>202</v>
      </c>
      <c r="C165" s="86" t="s">
        <v>185</v>
      </c>
      <c r="D165" s="87"/>
      <c r="E165" s="87"/>
      <c r="F165" s="171"/>
      <c r="G165" s="171"/>
      <c r="H165" s="172"/>
      <c r="I165" s="172"/>
      <c r="J165" s="171"/>
      <c r="K165" s="171"/>
      <c r="L165" s="171"/>
      <c r="M165" s="171"/>
      <c r="N165" s="171"/>
      <c r="O165" s="175"/>
      <c r="P165" s="175"/>
      <c r="Q165" s="175"/>
      <c r="R165" s="171"/>
      <c r="S165" s="171"/>
      <c r="T165" s="171"/>
      <c r="U165" s="171"/>
      <c r="V165" s="172"/>
      <c r="W165" s="172"/>
      <c r="X165" s="168"/>
      <c r="Y165" s="168">
        <v>1</v>
      </c>
      <c r="Z165" s="88">
        <v>0.8</v>
      </c>
      <c r="AA165" s="88"/>
      <c r="AB165" s="88">
        <v>1</v>
      </c>
      <c r="AC165" s="89">
        <v>1</v>
      </c>
      <c r="AD165" s="172"/>
      <c r="AE165" s="171"/>
      <c r="AF165" s="171"/>
      <c r="AG165" s="171"/>
      <c r="AH165" s="171"/>
      <c r="AI165" s="117"/>
      <c r="AJ165" s="158"/>
    </row>
    <row r="166" ht="18" customHeight="1" outlineLevel="1" spans="2:36">
      <c r="B166" s="161"/>
      <c r="C166" s="91" t="s">
        <v>186</v>
      </c>
      <c r="D166" s="92"/>
      <c r="E166" s="92"/>
      <c r="F166" s="173"/>
      <c r="G166" s="173"/>
      <c r="H166" s="174"/>
      <c r="I166" s="174"/>
      <c r="J166" s="173"/>
      <c r="K166" s="173"/>
      <c r="L166" s="173"/>
      <c r="M166" s="173"/>
      <c r="N166" s="173"/>
      <c r="O166" s="176"/>
      <c r="P166" s="176"/>
      <c r="Q166" s="176"/>
      <c r="R166" s="173"/>
      <c r="S166" s="173"/>
      <c r="T166" s="173"/>
      <c r="U166" s="173"/>
      <c r="V166" s="174"/>
      <c r="W166" s="174"/>
      <c r="X166" s="93">
        <v>42</v>
      </c>
      <c r="Y166" s="93">
        <v>42</v>
      </c>
      <c r="Z166" s="93">
        <v>42</v>
      </c>
      <c r="AA166" s="93">
        <v>42</v>
      </c>
      <c r="AB166" s="93">
        <v>42</v>
      </c>
      <c r="AC166" s="94">
        <v>42</v>
      </c>
      <c r="AD166" s="174"/>
      <c r="AE166" s="173"/>
      <c r="AF166" s="173"/>
      <c r="AG166" s="173"/>
      <c r="AH166" s="173"/>
      <c r="AI166" s="95"/>
      <c r="AJ166" s="154"/>
    </row>
    <row r="167" ht="18" customHeight="1" outlineLevel="1" spans="2:36">
      <c r="B167" s="161"/>
      <c r="C167" s="91" t="s">
        <v>187</v>
      </c>
      <c r="D167" s="92"/>
      <c r="E167" s="92"/>
      <c r="F167" s="173"/>
      <c r="G167" s="173"/>
      <c r="H167" s="174"/>
      <c r="I167" s="174"/>
      <c r="J167" s="173"/>
      <c r="K167" s="173"/>
      <c r="L167" s="173"/>
      <c r="M167" s="173"/>
      <c r="N167" s="173"/>
      <c r="O167" s="176"/>
      <c r="P167" s="176"/>
      <c r="Q167" s="176"/>
      <c r="R167" s="173"/>
      <c r="S167" s="173"/>
      <c r="T167" s="173"/>
      <c r="U167" s="173"/>
      <c r="V167" s="174"/>
      <c r="W167" s="174"/>
      <c r="X167" s="93">
        <f t="shared" ref="X167:AC167" si="94">X165*X166</f>
        <v>0</v>
      </c>
      <c r="Y167" s="93">
        <f t="shared" si="94"/>
        <v>42</v>
      </c>
      <c r="Z167" s="93">
        <f t="shared" si="94"/>
        <v>33.6</v>
      </c>
      <c r="AA167" s="93">
        <f t="shared" si="94"/>
        <v>0</v>
      </c>
      <c r="AB167" s="93">
        <f t="shared" si="94"/>
        <v>42</v>
      </c>
      <c r="AC167" s="94">
        <f t="shared" si="94"/>
        <v>42</v>
      </c>
      <c r="AD167" s="174"/>
      <c r="AE167" s="173"/>
      <c r="AF167" s="173"/>
      <c r="AG167" s="173"/>
      <c r="AH167" s="173"/>
      <c r="AI167" s="95"/>
      <c r="AJ167" s="154"/>
    </row>
    <row r="168" ht="18" customHeight="1" outlineLevel="1" spans="2:36">
      <c r="B168" s="161"/>
      <c r="C168" s="91" t="s">
        <v>188</v>
      </c>
      <c r="D168" s="92"/>
      <c r="E168" s="92"/>
      <c r="F168" s="173"/>
      <c r="G168" s="173"/>
      <c r="H168" s="174"/>
      <c r="I168" s="174"/>
      <c r="J168" s="173"/>
      <c r="K168" s="173"/>
      <c r="L168" s="173"/>
      <c r="M168" s="173"/>
      <c r="N168" s="173"/>
      <c r="O168" s="176"/>
      <c r="P168" s="176"/>
      <c r="Q168" s="176"/>
      <c r="R168" s="173"/>
      <c r="S168" s="173"/>
      <c r="T168" s="173"/>
      <c r="U168" s="173"/>
      <c r="V168" s="174"/>
      <c r="W168" s="174"/>
      <c r="X168" s="93">
        <v>8</v>
      </c>
      <c r="Y168" s="93">
        <v>8</v>
      </c>
      <c r="Z168" s="93">
        <v>8</v>
      </c>
      <c r="AA168" s="93">
        <v>11.5</v>
      </c>
      <c r="AB168" s="93">
        <v>11.5</v>
      </c>
      <c r="AC168" s="94">
        <v>11.5</v>
      </c>
      <c r="AD168" s="174"/>
      <c r="AE168" s="173"/>
      <c r="AF168" s="173"/>
      <c r="AG168" s="173"/>
      <c r="AH168" s="173"/>
      <c r="AI168" s="95"/>
      <c r="AJ168" s="154"/>
    </row>
    <row r="169" ht="18" customHeight="1" outlineLevel="1" spans="2:36">
      <c r="B169" s="161"/>
      <c r="C169" s="91" t="s">
        <v>189</v>
      </c>
      <c r="D169" s="92"/>
      <c r="E169" s="92"/>
      <c r="F169" s="173"/>
      <c r="G169" s="173"/>
      <c r="H169" s="174"/>
      <c r="I169" s="174"/>
      <c r="J169" s="173"/>
      <c r="K169" s="173"/>
      <c r="L169" s="173"/>
      <c r="M169" s="173"/>
      <c r="N169" s="173"/>
      <c r="O169" s="176"/>
      <c r="P169" s="176"/>
      <c r="Q169" s="176"/>
      <c r="R169" s="173"/>
      <c r="S169" s="173"/>
      <c r="T169" s="173"/>
      <c r="U169" s="173"/>
      <c r="V169" s="174"/>
      <c r="W169" s="174"/>
      <c r="X169" s="93">
        <v>700</v>
      </c>
      <c r="Y169" s="93">
        <v>700</v>
      </c>
      <c r="Z169" s="93">
        <v>700</v>
      </c>
      <c r="AA169" s="93">
        <v>700</v>
      </c>
      <c r="AB169" s="93">
        <v>700</v>
      </c>
      <c r="AC169" s="94">
        <v>700</v>
      </c>
      <c r="AD169" s="174"/>
      <c r="AE169" s="173"/>
      <c r="AF169" s="173"/>
      <c r="AG169" s="173"/>
      <c r="AH169" s="173"/>
      <c r="AI169" s="95"/>
      <c r="AJ169" s="154"/>
    </row>
    <row r="170" ht="18" customHeight="1" outlineLevel="1" spans="2:36">
      <c r="B170" s="161"/>
      <c r="C170" s="91" t="s">
        <v>190</v>
      </c>
      <c r="D170" s="92">
        <v>24000</v>
      </c>
      <c r="E170" s="92">
        <f>SUM(F170:AI170)</f>
        <v>26180</v>
      </c>
      <c r="F170" s="173"/>
      <c r="G170" s="173"/>
      <c r="H170" s="174"/>
      <c r="I170" s="174"/>
      <c r="J170" s="173"/>
      <c r="K170" s="173"/>
      <c r="L170" s="173"/>
      <c r="M170" s="173"/>
      <c r="N170" s="173"/>
      <c r="O170" s="176"/>
      <c r="P170" s="176"/>
      <c r="Q170" s="176"/>
      <c r="R170" s="173"/>
      <c r="S170" s="173"/>
      <c r="T170" s="173"/>
      <c r="U170" s="173"/>
      <c r="V170" s="174"/>
      <c r="W170" s="174"/>
      <c r="X170" s="95">
        <f>X165*X168*X169*0.85</f>
        <v>0</v>
      </c>
      <c r="Y170" s="95">
        <f t="shared" ref="Y170:AC170" si="95">Y165*Y168*Y169</f>
        <v>5600</v>
      </c>
      <c r="Z170" s="95">
        <f t="shared" si="95"/>
        <v>4480</v>
      </c>
      <c r="AA170" s="95">
        <f t="shared" si="95"/>
        <v>0</v>
      </c>
      <c r="AB170" s="95">
        <f t="shared" si="95"/>
        <v>8050</v>
      </c>
      <c r="AC170" s="96">
        <f t="shared" si="95"/>
        <v>8050</v>
      </c>
      <c r="AD170" s="174"/>
      <c r="AE170" s="173"/>
      <c r="AF170" s="173"/>
      <c r="AG170" s="173"/>
      <c r="AH170" s="173"/>
      <c r="AI170" s="95"/>
      <c r="AJ170" s="154"/>
    </row>
    <row r="171" ht="18" customHeight="1" outlineLevel="1" spans="2:36">
      <c r="B171" s="161"/>
      <c r="C171" s="91" t="s">
        <v>191</v>
      </c>
      <c r="D171" s="92"/>
      <c r="E171" s="108">
        <f>SUM(F171:AJ171)</f>
        <v>23600</v>
      </c>
      <c r="F171" s="173"/>
      <c r="G171" s="173"/>
      <c r="H171" s="174"/>
      <c r="I171" s="174"/>
      <c r="J171" s="173"/>
      <c r="K171" s="173"/>
      <c r="L171" s="173"/>
      <c r="M171" s="173"/>
      <c r="N171" s="173"/>
      <c r="O171" s="176"/>
      <c r="P171" s="176"/>
      <c r="Q171" s="176"/>
      <c r="R171" s="173"/>
      <c r="S171" s="173"/>
      <c r="T171" s="173"/>
      <c r="U171" s="173"/>
      <c r="V171" s="174"/>
      <c r="W171" s="174"/>
      <c r="X171" s="95"/>
      <c r="Y171" s="128">
        <v>5700</v>
      </c>
      <c r="Z171" s="95">
        <v>3000</v>
      </c>
      <c r="AA171" s="95"/>
      <c r="AB171" s="95">
        <v>6600</v>
      </c>
      <c r="AC171" s="96">
        <v>8300</v>
      </c>
      <c r="AD171" s="174"/>
      <c r="AE171" s="173"/>
      <c r="AF171" s="173"/>
      <c r="AG171" s="173"/>
      <c r="AH171" s="173"/>
      <c r="AI171" s="95"/>
      <c r="AJ171" s="154"/>
    </row>
    <row r="172" ht="18" customHeight="1" outlineLevel="1" spans="2:36">
      <c r="B172" s="161"/>
      <c r="C172" s="91" t="s">
        <v>192</v>
      </c>
      <c r="D172" s="92"/>
      <c r="E172" s="92"/>
      <c r="F172" s="173"/>
      <c r="G172" s="173"/>
      <c r="H172" s="174"/>
      <c r="I172" s="174"/>
      <c r="J172" s="173"/>
      <c r="K172" s="173"/>
      <c r="L172" s="173"/>
      <c r="M172" s="173"/>
      <c r="N172" s="173"/>
      <c r="O172" s="176"/>
      <c r="P172" s="176"/>
      <c r="Q172" s="176"/>
      <c r="R172" s="173"/>
      <c r="S172" s="173"/>
      <c r="T172" s="173"/>
      <c r="U172" s="173"/>
      <c r="V172" s="174"/>
      <c r="W172" s="174"/>
      <c r="X172" s="128">
        <f t="shared" ref="X172:AC172" si="96">X171-X170</f>
        <v>0</v>
      </c>
      <c r="Y172" s="128">
        <f t="shared" si="96"/>
        <v>100</v>
      </c>
      <c r="Z172" s="128">
        <f t="shared" si="96"/>
        <v>-1480</v>
      </c>
      <c r="AA172" s="128">
        <f t="shared" si="96"/>
        <v>0</v>
      </c>
      <c r="AB172" s="128">
        <f t="shared" si="96"/>
        <v>-1450</v>
      </c>
      <c r="AC172" s="96">
        <f t="shared" si="96"/>
        <v>250</v>
      </c>
      <c r="AD172" s="174"/>
      <c r="AE172" s="173"/>
      <c r="AF172" s="173"/>
      <c r="AG172" s="173"/>
      <c r="AH172" s="173"/>
      <c r="AI172" s="95"/>
      <c r="AJ172" s="154"/>
    </row>
    <row r="173" ht="18" customHeight="1" outlineLevel="1" spans="2:36">
      <c r="B173" s="161"/>
      <c r="C173" s="91" t="s">
        <v>193</v>
      </c>
      <c r="D173" s="92"/>
      <c r="E173" s="92"/>
      <c r="F173" s="173"/>
      <c r="G173" s="173"/>
      <c r="H173" s="174"/>
      <c r="I173" s="174"/>
      <c r="J173" s="173"/>
      <c r="K173" s="173"/>
      <c r="L173" s="173"/>
      <c r="M173" s="173"/>
      <c r="N173" s="173"/>
      <c r="O173" s="176"/>
      <c r="P173" s="176"/>
      <c r="Q173" s="176"/>
      <c r="R173" s="173"/>
      <c r="S173" s="173"/>
      <c r="T173" s="173"/>
      <c r="U173" s="173"/>
      <c r="V173" s="174"/>
      <c r="W173" s="174"/>
      <c r="X173" s="128">
        <f t="shared" ref="X173:AI173" si="97">W173+X171</f>
        <v>0</v>
      </c>
      <c r="Y173" s="128">
        <f t="shared" si="97"/>
        <v>5700</v>
      </c>
      <c r="Z173" s="128">
        <f t="shared" si="97"/>
        <v>8700</v>
      </c>
      <c r="AA173" s="128">
        <f t="shared" si="97"/>
        <v>8700</v>
      </c>
      <c r="AB173" s="128">
        <f t="shared" si="97"/>
        <v>15300</v>
      </c>
      <c r="AC173" s="123">
        <f t="shared" si="97"/>
        <v>23600</v>
      </c>
      <c r="AD173" s="123">
        <f t="shared" si="97"/>
        <v>23600</v>
      </c>
      <c r="AE173" s="128">
        <f t="shared" si="97"/>
        <v>23600</v>
      </c>
      <c r="AF173" s="128">
        <f t="shared" si="97"/>
        <v>23600</v>
      </c>
      <c r="AG173" s="128">
        <f t="shared" si="97"/>
        <v>23600</v>
      </c>
      <c r="AH173" s="128">
        <f t="shared" si="97"/>
        <v>23600</v>
      </c>
      <c r="AI173" s="128">
        <f t="shared" si="97"/>
        <v>23600</v>
      </c>
      <c r="AJ173" s="154"/>
    </row>
    <row r="174" ht="18" customHeight="1" spans="2:36">
      <c r="B174" s="161"/>
      <c r="C174" s="102" t="s">
        <v>194</v>
      </c>
      <c r="D174" s="103"/>
      <c r="E174" s="103"/>
      <c r="F174" s="104"/>
      <c r="G174" s="104"/>
      <c r="H174" s="105"/>
      <c r="I174" s="105"/>
      <c r="J174" s="104"/>
      <c r="K174" s="104"/>
      <c r="L174" s="104"/>
      <c r="M174" s="104"/>
      <c r="N174" s="104"/>
      <c r="O174" s="116"/>
      <c r="P174" s="116"/>
      <c r="Q174" s="116"/>
      <c r="R174" s="104"/>
      <c r="S174" s="104"/>
      <c r="T174" s="104"/>
      <c r="U174" s="104"/>
      <c r="V174" s="105"/>
      <c r="W174" s="105"/>
      <c r="X174" s="104" t="str">
        <f t="shared" ref="X174:AH174" si="98">IF(X171&gt;0,X171/X170,"")</f>
        <v/>
      </c>
      <c r="Y174" s="104">
        <f t="shared" si="98"/>
        <v>1.01785714285714</v>
      </c>
      <c r="Z174" s="142">
        <f t="shared" si="98"/>
        <v>0.669642857142857</v>
      </c>
      <c r="AA174" s="142" t="str">
        <f t="shared" si="98"/>
        <v/>
      </c>
      <c r="AB174" s="142">
        <f t="shared" si="98"/>
        <v>0.819875776397516</v>
      </c>
      <c r="AC174" s="177">
        <f t="shared" si="98"/>
        <v>1.03105590062112</v>
      </c>
      <c r="AD174" s="177" t="str">
        <f t="shared" si="98"/>
        <v/>
      </c>
      <c r="AE174" s="142" t="str">
        <f t="shared" si="98"/>
        <v/>
      </c>
      <c r="AF174" s="142" t="str">
        <f t="shared" si="98"/>
        <v/>
      </c>
      <c r="AG174" s="142" t="str">
        <f t="shared" si="98"/>
        <v/>
      </c>
      <c r="AH174" s="142" t="str">
        <f t="shared" si="98"/>
        <v/>
      </c>
      <c r="AI174" s="124"/>
      <c r="AJ174" s="156"/>
    </row>
    <row r="175" ht="18" customHeight="1" outlineLevel="1" spans="2:36">
      <c r="B175" s="160" t="s">
        <v>203</v>
      </c>
      <c r="C175" s="86" t="s">
        <v>185</v>
      </c>
      <c r="D175" s="87"/>
      <c r="E175" s="87"/>
      <c r="F175" s="88"/>
      <c r="G175" s="88"/>
      <c r="H175" s="89"/>
      <c r="I175" s="89"/>
      <c r="J175" s="88"/>
      <c r="K175" s="88"/>
      <c r="L175" s="117"/>
      <c r="M175" s="88"/>
      <c r="N175" s="88"/>
      <c r="O175" s="113"/>
      <c r="P175" s="113"/>
      <c r="Q175" s="113"/>
      <c r="R175" s="88"/>
      <c r="S175" s="88"/>
      <c r="T175" s="88"/>
      <c r="U175" s="88"/>
      <c r="V175" s="89"/>
      <c r="W175" s="126"/>
      <c r="X175" s="127"/>
      <c r="Y175" s="127"/>
      <c r="Z175" s="127"/>
      <c r="AA175" s="127"/>
      <c r="AB175" s="127"/>
      <c r="AC175" s="89"/>
      <c r="AD175" s="89"/>
      <c r="AE175" s="88"/>
      <c r="AF175" s="137"/>
      <c r="AG175" s="88"/>
      <c r="AH175" s="157"/>
      <c r="AI175" s="157"/>
      <c r="AJ175" s="158"/>
    </row>
    <row r="176" ht="18" customHeight="1" outlineLevel="1" spans="2:36">
      <c r="B176" s="161"/>
      <c r="C176" s="91" t="s">
        <v>186</v>
      </c>
      <c r="D176" s="92"/>
      <c r="E176" s="92"/>
      <c r="F176" s="93">
        <v>46</v>
      </c>
      <c r="G176" s="93">
        <v>46</v>
      </c>
      <c r="H176" s="94">
        <v>35</v>
      </c>
      <c r="I176" s="94">
        <v>35</v>
      </c>
      <c r="J176" s="93">
        <v>46</v>
      </c>
      <c r="K176" s="93">
        <v>46</v>
      </c>
      <c r="L176" s="95">
        <v>46</v>
      </c>
      <c r="M176" s="93">
        <v>46</v>
      </c>
      <c r="N176" s="93">
        <v>46</v>
      </c>
      <c r="O176" s="114">
        <v>46</v>
      </c>
      <c r="P176" s="114">
        <v>46</v>
      </c>
      <c r="Q176" s="114">
        <v>46</v>
      </c>
      <c r="R176" s="93">
        <v>46</v>
      </c>
      <c r="S176" s="93">
        <v>46</v>
      </c>
      <c r="T176" s="93">
        <v>46</v>
      </c>
      <c r="U176" s="93">
        <v>46</v>
      </c>
      <c r="V176" s="94">
        <v>46</v>
      </c>
      <c r="W176" s="123">
        <v>46</v>
      </c>
      <c r="X176" s="128">
        <v>46</v>
      </c>
      <c r="Y176" s="128">
        <v>46</v>
      </c>
      <c r="Z176" s="128">
        <v>46</v>
      </c>
      <c r="AA176" s="128">
        <v>46</v>
      </c>
      <c r="AB176" s="128">
        <v>46</v>
      </c>
      <c r="AC176" s="94">
        <v>46</v>
      </c>
      <c r="AD176" s="94">
        <v>46</v>
      </c>
      <c r="AE176" s="93">
        <v>46</v>
      </c>
      <c r="AF176" s="138">
        <v>46</v>
      </c>
      <c r="AG176" s="93">
        <v>46</v>
      </c>
      <c r="AH176" s="139">
        <v>46</v>
      </c>
      <c r="AI176" s="139">
        <v>46</v>
      </c>
      <c r="AJ176" s="154">
        <v>47</v>
      </c>
    </row>
    <row r="177" ht="18" customHeight="1" outlineLevel="1" spans="2:36">
      <c r="B177" s="161"/>
      <c r="C177" s="91" t="s">
        <v>187</v>
      </c>
      <c r="D177" s="92"/>
      <c r="E177" s="92"/>
      <c r="F177" s="93">
        <f t="shared" ref="F177:AJ177" si="99">F175*F176</f>
        <v>0</v>
      </c>
      <c r="G177" s="93">
        <f t="shared" si="99"/>
        <v>0</v>
      </c>
      <c r="H177" s="94">
        <f t="shared" si="99"/>
        <v>0</v>
      </c>
      <c r="I177" s="94">
        <f t="shared" si="99"/>
        <v>0</v>
      </c>
      <c r="J177" s="93">
        <f t="shared" si="99"/>
        <v>0</v>
      </c>
      <c r="K177" s="93">
        <f t="shared" si="99"/>
        <v>0</v>
      </c>
      <c r="L177" s="95">
        <f t="shared" si="99"/>
        <v>0</v>
      </c>
      <c r="M177" s="93">
        <f t="shared" si="99"/>
        <v>0</v>
      </c>
      <c r="N177" s="93">
        <v>0</v>
      </c>
      <c r="O177" s="114">
        <f t="shared" si="99"/>
        <v>0</v>
      </c>
      <c r="P177" s="114">
        <f t="shared" si="99"/>
        <v>0</v>
      </c>
      <c r="Q177" s="114">
        <f t="shared" si="99"/>
        <v>0</v>
      </c>
      <c r="R177" s="93">
        <f t="shared" si="99"/>
        <v>0</v>
      </c>
      <c r="S177" s="93">
        <f t="shared" si="99"/>
        <v>0</v>
      </c>
      <c r="T177" s="93">
        <f t="shared" si="99"/>
        <v>0</v>
      </c>
      <c r="U177" s="93">
        <f t="shared" si="99"/>
        <v>0</v>
      </c>
      <c r="V177" s="94">
        <f t="shared" si="99"/>
        <v>0</v>
      </c>
      <c r="W177" s="96">
        <f t="shared" si="99"/>
        <v>0</v>
      </c>
      <c r="X177" s="93">
        <f t="shared" si="99"/>
        <v>0</v>
      </c>
      <c r="Y177" s="93">
        <f t="shared" si="99"/>
        <v>0</v>
      </c>
      <c r="Z177" s="93">
        <f t="shared" si="99"/>
        <v>0</v>
      </c>
      <c r="AA177" s="93">
        <f t="shared" si="99"/>
        <v>0</v>
      </c>
      <c r="AB177" s="93">
        <f t="shared" si="99"/>
        <v>0</v>
      </c>
      <c r="AC177" s="94">
        <f t="shared" si="99"/>
        <v>0</v>
      </c>
      <c r="AD177" s="94">
        <f t="shared" si="99"/>
        <v>0</v>
      </c>
      <c r="AE177" s="93">
        <f t="shared" si="99"/>
        <v>0</v>
      </c>
      <c r="AF177" s="138">
        <f t="shared" si="99"/>
        <v>0</v>
      </c>
      <c r="AG177" s="93">
        <f t="shared" si="99"/>
        <v>0</v>
      </c>
      <c r="AH177" s="139">
        <f t="shared" si="99"/>
        <v>0</v>
      </c>
      <c r="AI177" s="139">
        <f t="shared" si="99"/>
        <v>0</v>
      </c>
      <c r="AJ177" s="154">
        <f t="shared" si="99"/>
        <v>0</v>
      </c>
    </row>
    <row r="178" ht="18" customHeight="1" outlineLevel="1" spans="2:36">
      <c r="B178" s="161"/>
      <c r="C178" s="91" t="s">
        <v>188</v>
      </c>
      <c r="D178" s="92"/>
      <c r="E178" s="92"/>
      <c r="F178" s="93"/>
      <c r="G178" s="93"/>
      <c r="H178" s="94"/>
      <c r="I178" s="94"/>
      <c r="J178" s="93"/>
      <c r="K178" s="93"/>
      <c r="L178" s="93"/>
      <c r="M178" s="93"/>
      <c r="N178" s="93"/>
      <c r="O178" s="114"/>
      <c r="P178" s="114"/>
      <c r="Q178" s="114"/>
      <c r="R178" s="93">
        <v>6</v>
      </c>
      <c r="S178" s="93">
        <v>8</v>
      </c>
      <c r="T178" s="93">
        <v>11.5</v>
      </c>
      <c r="U178" s="93">
        <v>11.5</v>
      </c>
      <c r="V178" s="94">
        <v>11.5</v>
      </c>
      <c r="W178" s="96">
        <v>8</v>
      </c>
      <c r="X178" s="93">
        <v>11.5</v>
      </c>
      <c r="Y178" s="93">
        <v>11.5</v>
      </c>
      <c r="Z178" s="93">
        <v>11.5</v>
      </c>
      <c r="AA178" s="93">
        <v>11.5</v>
      </c>
      <c r="AB178" s="93">
        <v>11.5</v>
      </c>
      <c r="AC178" s="94">
        <v>11.5</v>
      </c>
      <c r="AD178" s="94"/>
      <c r="AE178" s="93">
        <v>11.5</v>
      </c>
      <c r="AF178" s="93">
        <v>11.5</v>
      </c>
      <c r="AG178" s="93">
        <v>11.5</v>
      </c>
      <c r="AH178" s="93">
        <v>11.5</v>
      </c>
      <c r="AI178" s="93">
        <v>11.5</v>
      </c>
      <c r="AJ178" s="154"/>
    </row>
    <row r="179" ht="18" customHeight="1" outlineLevel="1" spans="2:36">
      <c r="B179" s="161"/>
      <c r="C179" s="91" t="s">
        <v>189</v>
      </c>
      <c r="D179" s="92"/>
      <c r="E179" s="92"/>
      <c r="F179" s="93">
        <v>660</v>
      </c>
      <c r="G179" s="93">
        <v>680</v>
      </c>
      <c r="H179" s="94">
        <v>680</v>
      </c>
      <c r="I179" s="94">
        <v>680</v>
      </c>
      <c r="J179" s="93">
        <v>680</v>
      </c>
      <c r="K179" s="93">
        <v>680</v>
      </c>
      <c r="L179" s="95">
        <v>680</v>
      </c>
      <c r="M179" s="93">
        <v>680</v>
      </c>
      <c r="N179" s="93">
        <v>680</v>
      </c>
      <c r="O179" s="114">
        <v>680</v>
      </c>
      <c r="P179" s="114">
        <v>680</v>
      </c>
      <c r="Q179" s="114">
        <v>680</v>
      </c>
      <c r="R179" s="93">
        <v>680</v>
      </c>
      <c r="S179" s="93">
        <v>680</v>
      </c>
      <c r="T179" s="93">
        <v>680</v>
      </c>
      <c r="U179" s="93">
        <v>680</v>
      </c>
      <c r="V179" s="94">
        <v>680</v>
      </c>
      <c r="W179" s="96">
        <v>680</v>
      </c>
      <c r="X179" s="93">
        <v>680</v>
      </c>
      <c r="Y179" s="93">
        <v>680</v>
      </c>
      <c r="Z179" s="93">
        <v>680</v>
      </c>
      <c r="AA179" s="93">
        <v>680</v>
      </c>
      <c r="AB179" s="93">
        <v>680</v>
      </c>
      <c r="AC179" s="94">
        <v>680</v>
      </c>
      <c r="AD179" s="94">
        <v>680</v>
      </c>
      <c r="AE179" s="93">
        <v>680</v>
      </c>
      <c r="AF179" s="138">
        <v>680</v>
      </c>
      <c r="AG179" s="93">
        <v>680</v>
      </c>
      <c r="AH179" s="139">
        <v>680</v>
      </c>
      <c r="AI179" s="139">
        <v>680</v>
      </c>
      <c r="AJ179" s="154">
        <v>681</v>
      </c>
    </row>
    <row r="180" ht="18" customHeight="1" outlineLevel="1" spans="2:36">
      <c r="B180" s="161"/>
      <c r="C180" s="91" t="s">
        <v>190</v>
      </c>
      <c r="D180" s="92">
        <v>0</v>
      </c>
      <c r="E180" s="92">
        <f>SUM(F180:AI180)</f>
        <v>0</v>
      </c>
      <c r="F180" s="95">
        <f t="shared" ref="F180:I180" si="100">F175*F178*F179*0.35</f>
        <v>0</v>
      </c>
      <c r="G180" s="95">
        <f>G175*G178*G179*0.45</f>
        <v>0</v>
      </c>
      <c r="H180" s="96">
        <f t="shared" si="100"/>
        <v>0</v>
      </c>
      <c r="I180" s="96">
        <f t="shared" si="100"/>
        <v>0</v>
      </c>
      <c r="J180" s="95">
        <f>J175*J178*J179*0.55</f>
        <v>0</v>
      </c>
      <c r="K180" s="95">
        <f>K175*K178*K179*0.65</f>
        <v>0</v>
      </c>
      <c r="L180" s="95">
        <f>L175*L178*L179*0.75</f>
        <v>0</v>
      </c>
      <c r="M180" s="95">
        <f>M175*M178*M179*0.85</f>
        <v>0</v>
      </c>
      <c r="N180" s="95">
        <v>0</v>
      </c>
      <c r="O180" s="115">
        <f t="shared" ref="O180:Q180" si="101">O175*O178*O179</f>
        <v>0</v>
      </c>
      <c r="P180" s="115">
        <f t="shared" si="101"/>
        <v>0</v>
      </c>
      <c r="Q180" s="115">
        <f t="shared" si="101"/>
        <v>0</v>
      </c>
      <c r="R180" s="95">
        <f>R175*R178*R179*0.45</f>
        <v>0</v>
      </c>
      <c r="S180" s="95">
        <f>S175*S178*S179*0.55</f>
        <v>0</v>
      </c>
      <c r="T180" s="95">
        <f>T175*T178*T179*0.65</f>
        <v>0</v>
      </c>
      <c r="U180" s="95">
        <f>U175*U178*U179*0.75</f>
        <v>0</v>
      </c>
      <c r="V180" s="96">
        <f>V175*V178*V179*0.75</f>
        <v>0</v>
      </c>
      <c r="W180" s="123">
        <f>W175*W178*W179*0.85</f>
        <v>0</v>
      </c>
      <c r="X180" s="128">
        <f>X175*X178*X179*0.85</f>
        <v>0</v>
      </c>
      <c r="Y180" s="128">
        <f>Y175*Y178*Y179*0.95</f>
        <v>0</v>
      </c>
      <c r="Z180" s="128">
        <f>Z175*Z178*Z179*0.85</f>
        <v>0</v>
      </c>
      <c r="AA180" s="128">
        <f>AA175*AA178*AA179*0.9</f>
        <v>0</v>
      </c>
      <c r="AB180" s="128">
        <f>AB175*AB178*AB179*0.95</f>
        <v>0</v>
      </c>
      <c r="AC180" s="96">
        <f>AC175*AC178*AC179</f>
        <v>0</v>
      </c>
      <c r="AD180" s="96">
        <f>AD175*AD178*AD179*0.96</f>
        <v>0</v>
      </c>
      <c r="AE180" s="95">
        <f t="shared" ref="AE180:AJ180" si="102">AE175*AE178*AE179</f>
        <v>0</v>
      </c>
      <c r="AF180" s="139">
        <f t="shared" si="102"/>
        <v>0</v>
      </c>
      <c r="AG180" s="95">
        <f t="shared" si="102"/>
        <v>0</v>
      </c>
      <c r="AH180" s="139">
        <f t="shared" si="102"/>
        <v>0</v>
      </c>
      <c r="AI180" s="139">
        <f t="shared" si="102"/>
        <v>0</v>
      </c>
      <c r="AJ180" s="154">
        <f t="shared" si="102"/>
        <v>0</v>
      </c>
    </row>
    <row r="181" ht="18" customHeight="1" outlineLevel="1" spans="2:36">
      <c r="B181" s="162"/>
      <c r="C181" s="91" t="s">
        <v>191</v>
      </c>
      <c r="D181" s="92"/>
      <c r="E181" s="108">
        <f>SUM(F181:AJ181)</f>
        <v>0</v>
      </c>
      <c r="F181" s="98"/>
      <c r="G181" s="99"/>
      <c r="H181" s="100"/>
      <c r="I181" s="100"/>
      <c r="J181" s="99"/>
      <c r="K181" s="99"/>
      <c r="L181" s="95"/>
      <c r="M181" s="95"/>
      <c r="N181" s="95"/>
      <c r="O181" s="115"/>
      <c r="P181" s="115"/>
      <c r="Q181" s="115"/>
      <c r="R181" s="95"/>
      <c r="S181" s="95"/>
      <c r="T181" s="95"/>
      <c r="U181" s="95"/>
      <c r="V181" s="96"/>
      <c r="W181" s="96"/>
      <c r="X181" s="95"/>
      <c r="Y181" s="128"/>
      <c r="Z181" s="95"/>
      <c r="AA181" s="95"/>
      <c r="AB181" s="95"/>
      <c r="AC181" s="96"/>
      <c r="AD181" s="96"/>
      <c r="AE181" s="95"/>
      <c r="AF181" s="139"/>
      <c r="AG181" s="95"/>
      <c r="AH181" s="139"/>
      <c r="AI181" s="139"/>
      <c r="AJ181" s="154"/>
    </row>
    <row r="182" ht="18" customHeight="1" outlineLevel="1" spans="2:36">
      <c r="B182" s="161"/>
      <c r="C182" s="91" t="s">
        <v>192</v>
      </c>
      <c r="D182" s="92"/>
      <c r="E182" s="92"/>
      <c r="F182" s="95">
        <f t="shared" ref="F182:AJ182" si="103">F181-F180</f>
        <v>0</v>
      </c>
      <c r="G182" s="95">
        <f t="shared" si="103"/>
        <v>0</v>
      </c>
      <c r="H182" s="96">
        <f t="shared" si="103"/>
        <v>0</v>
      </c>
      <c r="I182" s="96">
        <f t="shared" si="103"/>
        <v>0</v>
      </c>
      <c r="J182" s="95">
        <f t="shared" si="103"/>
        <v>0</v>
      </c>
      <c r="K182" s="95">
        <f t="shared" si="103"/>
        <v>0</v>
      </c>
      <c r="L182" s="95">
        <f t="shared" si="103"/>
        <v>0</v>
      </c>
      <c r="M182" s="95">
        <f t="shared" si="103"/>
        <v>0</v>
      </c>
      <c r="N182" s="95">
        <v>0</v>
      </c>
      <c r="O182" s="115">
        <f t="shared" si="103"/>
        <v>0</v>
      </c>
      <c r="P182" s="115">
        <f t="shared" si="103"/>
        <v>0</v>
      </c>
      <c r="Q182" s="115">
        <f t="shared" si="103"/>
        <v>0</v>
      </c>
      <c r="R182" s="95">
        <f t="shared" si="103"/>
        <v>0</v>
      </c>
      <c r="S182" s="95">
        <f t="shared" si="103"/>
        <v>0</v>
      </c>
      <c r="T182" s="95">
        <f t="shared" si="103"/>
        <v>0</v>
      </c>
      <c r="U182" s="95">
        <f t="shared" si="103"/>
        <v>0</v>
      </c>
      <c r="V182" s="96">
        <f t="shared" si="103"/>
        <v>0</v>
      </c>
      <c r="W182" s="123">
        <f t="shared" si="103"/>
        <v>0</v>
      </c>
      <c r="X182" s="128">
        <f t="shared" si="103"/>
        <v>0</v>
      </c>
      <c r="Y182" s="128">
        <f t="shared" si="103"/>
        <v>0</v>
      </c>
      <c r="Z182" s="128">
        <f t="shared" si="103"/>
        <v>0</v>
      </c>
      <c r="AA182" s="128">
        <f t="shared" si="103"/>
        <v>0</v>
      </c>
      <c r="AB182" s="128">
        <f t="shared" si="103"/>
        <v>0</v>
      </c>
      <c r="AC182" s="96">
        <f t="shared" si="103"/>
        <v>0</v>
      </c>
      <c r="AD182" s="96">
        <f t="shared" si="103"/>
        <v>0</v>
      </c>
      <c r="AE182" s="95">
        <f t="shared" si="103"/>
        <v>0</v>
      </c>
      <c r="AF182" s="139">
        <f t="shared" si="103"/>
        <v>0</v>
      </c>
      <c r="AG182" s="95">
        <f t="shared" si="103"/>
        <v>0</v>
      </c>
      <c r="AH182" s="139">
        <f t="shared" si="103"/>
        <v>0</v>
      </c>
      <c r="AI182" s="139">
        <f t="shared" si="103"/>
        <v>0</v>
      </c>
      <c r="AJ182" s="154">
        <f t="shared" si="103"/>
        <v>0</v>
      </c>
    </row>
    <row r="183" ht="18" customHeight="1" outlineLevel="1" spans="2:36">
      <c r="B183" s="161"/>
      <c r="C183" s="91" t="s">
        <v>193</v>
      </c>
      <c r="D183" s="92"/>
      <c r="E183" s="92"/>
      <c r="F183" s="95">
        <f t="shared" ref="F183:H183" si="104">E183+F181</f>
        <v>0</v>
      </c>
      <c r="G183" s="95">
        <f t="shared" si="104"/>
        <v>0</v>
      </c>
      <c r="H183" s="96">
        <f t="shared" si="104"/>
        <v>0</v>
      </c>
      <c r="I183" s="96"/>
      <c r="J183" s="95">
        <f t="shared" ref="J183:AJ183" si="105">I183+J181</f>
        <v>0</v>
      </c>
      <c r="K183" s="95">
        <f t="shared" si="105"/>
        <v>0</v>
      </c>
      <c r="L183" s="95">
        <f t="shared" si="105"/>
        <v>0</v>
      </c>
      <c r="M183" s="95">
        <f t="shared" si="105"/>
        <v>0</v>
      </c>
      <c r="N183" s="95">
        <v>0</v>
      </c>
      <c r="O183" s="115">
        <f t="shared" si="105"/>
        <v>0</v>
      </c>
      <c r="P183" s="115">
        <f t="shared" si="105"/>
        <v>0</v>
      </c>
      <c r="Q183" s="115">
        <f t="shared" si="105"/>
        <v>0</v>
      </c>
      <c r="R183" s="95">
        <f t="shared" si="105"/>
        <v>0</v>
      </c>
      <c r="S183" s="95">
        <f t="shared" si="105"/>
        <v>0</v>
      </c>
      <c r="T183" s="95">
        <f t="shared" si="105"/>
        <v>0</v>
      </c>
      <c r="U183" s="95">
        <f t="shared" si="105"/>
        <v>0</v>
      </c>
      <c r="V183" s="96">
        <f t="shared" si="105"/>
        <v>0</v>
      </c>
      <c r="W183" s="123">
        <f t="shared" si="105"/>
        <v>0</v>
      </c>
      <c r="X183" s="128">
        <f t="shared" si="105"/>
        <v>0</v>
      </c>
      <c r="Y183" s="128">
        <f t="shared" si="105"/>
        <v>0</v>
      </c>
      <c r="Z183" s="128">
        <f t="shared" si="105"/>
        <v>0</v>
      </c>
      <c r="AA183" s="128">
        <f t="shared" si="105"/>
        <v>0</v>
      </c>
      <c r="AB183" s="128">
        <f t="shared" si="105"/>
        <v>0</v>
      </c>
      <c r="AC183" s="96">
        <f t="shared" si="105"/>
        <v>0</v>
      </c>
      <c r="AD183" s="96">
        <f t="shared" si="105"/>
        <v>0</v>
      </c>
      <c r="AE183" s="95">
        <f t="shared" si="105"/>
        <v>0</v>
      </c>
      <c r="AF183" s="139">
        <f t="shared" si="105"/>
        <v>0</v>
      </c>
      <c r="AG183" s="95">
        <f t="shared" si="105"/>
        <v>0</v>
      </c>
      <c r="AH183" s="139">
        <f t="shared" si="105"/>
        <v>0</v>
      </c>
      <c r="AI183" s="139">
        <f t="shared" si="105"/>
        <v>0</v>
      </c>
      <c r="AJ183" s="154">
        <f t="shared" si="105"/>
        <v>0</v>
      </c>
    </row>
    <row r="184" ht="18" customHeight="1" spans="2:36">
      <c r="B184" s="164"/>
      <c r="C184" s="102" t="s">
        <v>194</v>
      </c>
      <c r="D184" s="103"/>
      <c r="E184" s="103"/>
      <c r="F184" s="104" t="str">
        <f t="shared" ref="F184:AJ184" si="106">IF(F181&gt;0,F181/F180,"")</f>
        <v/>
      </c>
      <c r="G184" s="104" t="str">
        <f t="shared" si="106"/>
        <v/>
      </c>
      <c r="H184" s="105" t="str">
        <f t="shared" si="106"/>
        <v/>
      </c>
      <c r="I184" s="105" t="str">
        <f t="shared" si="106"/>
        <v/>
      </c>
      <c r="J184" s="104" t="str">
        <f t="shared" si="106"/>
        <v/>
      </c>
      <c r="K184" s="104" t="str">
        <f t="shared" si="106"/>
        <v/>
      </c>
      <c r="L184" s="104" t="str">
        <f t="shared" si="106"/>
        <v/>
      </c>
      <c r="M184" s="104" t="str">
        <f t="shared" si="106"/>
        <v/>
      </c>
      <c r="N184" s="104" t="s">
        <v>195</v>
      </c>
      <c r="O184" s="116" t="str">
        <f t="shared" si="106"/>
        <v/>
      </c>
      <c r="P184" s="116" t="str">
        <f t="shared" si="106"/>
        <v/>
      </c>
      <c r="Q184" s="116" t="str">
        <f t="shared" si="106"/>
        <v/>
      </c>
      <c r="R184" s="104" t="str">
        <f t="shared" si="106"/>
        <v/>
      </c>
      <c r="S184" s="104" t="str">
        <f t="shared" si="106"/>
        <v/>
      </c>
      <c r="T184" s="104" t="str">
        <f t="shared" si="106"/>
        <v/>
      </c>
      <c r="U184" s="104" t="str">
        <f t="shared" si="106"/>
        <v/>
      </c>
      <c r="V184" s="105" t="str">
        <f t="shared" si="106"/>
        <v/>
      </c>
      <c r="W184" s="105" t="str">
        <f t="shared" si="106"/>
        <v/>
      </c>
      <c r="X184" s="104" t="str">
        <f t="shared" si="106"/>
        <v/>
      </c>
      <c r="Y184" s="104" t="str">
        <f t="shared" si="106"/>
        <v/>
      </c>
      <c r="Z184" s="142" t="str">
        <f t="shared" si="106"/>
        <v/>
      </c>
      <c r="AA184" s="104" t="str">
        <f t="shared" si="106"/>
        <v/>
      </c>
      <c r="AB184" s="104" t="str">
        <f t="shared" si="106"/>
        <v/>
      </c>
      <c r="AC184" s="105" t="str">
        <f t="shared" si="106"/>
        <v/>
      </c>
      <c r="AD184" s="105" t="str">
        <f t="shared" si="106"/>
        <v/>
      </c>
      <c r="AE184" s="104" t="str">
        <f t="shared" si="106"/>
        <v/>
      </c>
      <c r="AF184" s="141" t="str">
        <f t="shared" si="106"/>
        <v/>
      </c>
      <c r="AG184" s="104" t="str">
        <f t="shared" si="106"/>
        <v/>
      </c>
      <c r="AH184" s="104" t="str">
        <f t="shared" si="106"/>
        <v/>
      </c>
      <c r="AI184" s="155" t="str">
        <f t="shared" si="106"/>
        <v/>
      </c>
      <c r="AJ184" s="156" t="str">
        <f t="shared" si="106"/>
        <v/>
      </c>
    </row>
    <row r="185" ht="18" customHeight="1" outlineLevel="1" spans="2:36">
      <c r="B185" s="160" t="s">
        <v>71</v>
      </c>
      <c r="C185" s="86" t="s">
        <v>185</v>
      </c>
      <c r="D185" s="87"/>
      <c r="E185" s="87"/>
      <c r="F185" s="88"/>
      <c r="G185" s="88"/>
      <c r="H185" s="89"/>
      <c r="I185" s="89"/>
      <c r="J185" s="88"/>
      <c r="K185" s="88"/>
      <c r="L185" s="117"/>
      <c r="M185" s="88"/>
      <c r="N185" s="88"/>
      <c r="O185" s="113"/>
      <c r="P185" s="113"/>
      <c r="Q185" s="113"/>
      <c r="R185" s="88"/>
      <c r="S185" s="88"/>
      <c r="T185" s="88"/>
      <c r="U185" s="88">
        <v>0.3</v>
      </c>
      <c r="V185" s="89">
        <v>1</v>
      </c>
      <c r="W185" s="122">
        <v>1</v>
      </c>
      <c r="X185" s="88">
        <v>1</v>
      </c>
      <c r="Y185" s="88"/>
      <c r="Z185" s="88"/>
      <c r="AA185" s="88"/>
      <c r="AB185" s="127"/>
      <c r="AC185" s="89">
        <v>1</v>
      </c>
      <c r="AD185" s="89"/>
      <c r="AE185" s="88"/>
      <c r="AF185" s="88">
        <v>1</v>
      </c>
      <c r="AG185" s="88"/>
      <c r="AH185" s="88"/>
      <c r="AI185" s="157"/>
      <c r="AJ185" s="158"/>
    </row>
    <row r="186" ht="18" customHeight="1" outlineLevel="1" spans="2:37">
      <c r="B186" s="161"/>
      <c r="C186" s="91" t="s">
        <v>186</v>
      </c>
      <c r="D186" s="92"/>
      <c r="E186" s="92"/>
      <c r="F186" s="93">
        <v>43</v>
      </c>
      <c r="G186" s="93">
        <v>43</v>
      </c>
      <c r="H186" s="94">
        <v>43</v>
      </c>
      <c r="I186" s="94">
        <v>43</v>
      </c>
      <c r="J186" s="93">
        <v>43</v>
      </c>
      <c r="K186" s="93">
        <v>43</v>
      </c>
      <c r="L186" s="95">
        <v>43</v>
      </c>
      <c r="M186" s="93">
        <v>43</v>
      </c>
      <c r="N186" s="93">
        <v>43</v>
      </c>
      <c r="O186" s="114">
        <v>43</v>
      </c>
      <c r="P186" s="114">
        <v>43</v>
      </c>
      <c r="Q186" s="114">
        <v>43</v>
      </c>
      <c r="R186" s="93">
        <v>43</v>
      </c>
      <c r="S186" s="95">
        <v>43</v>
      </c>
      <c r="T186" s="93">
        <v>43</v>
      </c>
      <c r="U186" s="93">
        <v>43</v>
      </c>
      <c r="V186" s="94">
        <v>43</v>
      </c>
      <c r="W186" s="94">
        <v>43</v>
      </c>
      <c r="X186" s="93">
        <v>43</v>
      </c>
      <c r="Y186" s="93">
        <v>43</v>
      </c>
      <c r="Z186" s="95">
        <v>43</v>
      </c>
      <c r="AA186" s="93">
        <v>43</v>
      </c>
      <c r="AB186" s="93">
        <v>43</v>
      </c>
      <c r="AC186" s="94">
        <v>43</v>
      </c>
      <c r="AD186" s="94">
        <v>43</v>
      </c>
      <c r="AE186" s="93">
        <v>43</v>
      </c>
      <c r="AF186" s="93">
        <v>43</v>
      </c>
      <c r="AG186" s="95">
        <v>43</v>
      </c>
      <c r="AH186" s="93">
        <v>43</v>
      </c>
      <c r="AI186" s="93">
        <v>43</v>
      </c>
      <c r="AJ186" s="94">
        <v>43</v>
      </c>
      <c r="AK186" s="94"/>
    </row>
    <row r="187" ht="18" customHeight="1" outlineLevel="1" spans="2:36">
      <c r="B187" s="161"/>
      <c r="C187" s="91" t="s">
        <v>187</v>
      </c>
      <c r="D187" s="92"/>
      <c r="E187" s="92"/>
      <c r="F187" s="93">
        <f t="shared" ref="F187:AJ187" si="107">F185*F186</f>
        <v>0</v>
      </c>
      <c r="G187" s="93">
        <f t="shared" si="107"/>
        <v>0</v>
      </c>
      <c r="H187" s="94">
        <f t="shared" si="107"/>
        <v>0</v>
      </c>
      <c r="I187" s="94">
        <f t="shared" si="107"/>
        <v>0</v>
      </c>
      <c r="J187" s="93">
        <f t="shared" si="107"/>
        <v>0</v>
      </c>
      <c r="K187" s="93">
        <f t="shared" si="107"/>
        <v>0</v>
      </c>
      <c r="L187" s="95">
        <f t="shared" si="107"/>
        <v>0</v>
      </c>
      <c r="M187" s="93">
        <f t="shared" si="107"/>
        <v>0</v>
      </c>
      <c r="N187" s="93">
        <v>0</v>
      </c>
      <c r="O187" s="114">
        <f t="shared" si="107"/>
        <v>0</v>
      </c>
      <c r="P187" s="114">
        <f t="shared" si="107"/>
        <v>0</v>
      </c>
      <c r="Q187" s="114">
        <f t="shared" si="107"/>
        <v>0</v>
      </c>
      <c r="R187" s="93">
        <f t="shared" si="107"/>
        <v>0</v>
      </c>
      <c r="S187" s="93">
        <f t="shared" si="107"/>
        <v>0</v>
      </c>
      <c r="T187" s="93">
        <f t="shared" si="107"/>
        <v>0</v>
      </c>
      <c r="U187" s="93">
        <f t="shared" si="107"/>
        <v>12.9</v>
      </c>
      <c r="V187" s="94">
        <f t="shared" si="107"/>
        <v>43</v>
      </c>
      <c r="W187" s="96">
        <f t="shared" si="107"/>
        <v>43</v>
      </c>
      <c r="X187" s="93">
        <f t="shared" si="107"/>
        <v>43</v>
      </c>
      <c r="Y187" s="93">
        <f t="shared" si="107"/>
        <v>0</v>
      </c>
      <c r="Z187" s="93">
        <f t="shared" si="107"/>
        <v>0</v>
      </c>
      <c r="AA187" s="93">
        <f t="shared" si="107"/>
        <v>0</v>
      </c>
      <c r="AB187" s="93">
        <f t="shared" si="107"/>
        <v>0</v>
      </c>
      <c r="AC187" s="94">
        <f t="shared" si="107"/>
        <v>43</v>
      </c>
      <c r="AD187" s="94">
        <f t="shared" si="107"/>
        <v>0</v>
      </c>
      <c r="AE187" s="93">
        <f t="shared" si="107"/>
        <v>0</v>
      </c>
      <c r="AF187" s="93">
        <f t="shared" si="107"/>
        <v>43</v>
      </c>
      <c r="AG187" s="93">
        <f t="shared" si="107"/>
        <v>0</v>
      </c>
      <c r="AH187" s="93">
        <f t="shared" si="107"/>
        <v>0</v>
      </c>
      <c r="AI187" s="139">
        <f t="shared" si="107"/>
        <v>0</v>
      </c>
      <c r="AJ187" s="154">
        <f t="shared" si="107"/>
        <v>0</v>
      </c>
    </row>
    <row r="188" ht="18" customHeight="1" outlineLevel="1" spans="2:36">
      <c r="B188" s="161"/>
      <c r="C188" s="91" t="s">
        <v>188</v>
      </c>
      <c r="D188" s="92"/>
      <c r="E188" s="92"/>
      <c r="F188" s="93">
        <v>11.5</v>
      </c>
      <c r="G188" s="93">
        <v>11.5</v>
      </c>
      <c r="H188" s="94">
        <v>11.5</v>
      </c>
      <c r="I188" s="94">
        <v>8</v>
      </c>
      <c r="J188" s="93"/>
      <c r="K188" s="93">
        <v>1</v>
      </c>
      <c r="L188" s="95">
        <v>4</v>
      </c>
      <c r="M188" s="93">
        <v>11.5</v>
      </c>
      <c r="N188" s="93">
        <v>11.5</v>
      </c>
      <c r="O188" s="114">
        <v>11.5</v>
      </c>
      <c r="P188" s="114">
        <v>8</v>
      </c>
      <c r="Q188" s="114">
        <v>8</v>
      </c>
      <c r="R188" s="93">
        <v>11</v>
      </c>
      <c r="S188" s="93">
        <v>11.5</v>
      </c>
      <c r="T188" s="93">
        <v>11.5</v>
      </c>
      <c r="U188" s="93">
        <v>8</v>
      </c>
      <c r="V188" s="94">
        <v>8</v>
      </c>
      <c r="W188" s="96">
        <v>8</v>
      </c>
      <c r="X188" s="93">
        <v>11.5</v>
      </c>
      <c r="Y188" s="93">
        <v>4</v>
      </c>
      <c r="Z188" s="93">
        <v>11.5</v>
      </c>
      <c r="AA188" s="93">
        <v>11.5</v>
      </c>
      <c r="AB188" s="93">
        <v>11.5</v>
      </c>
      <c r="AC188" s="94">
        <v>4</v>
      </c>
      <c r="AD188" s="94">
        <v>8</v>
      </c>
      <c r="AE188" s="93">
        <v>11.5</v>
      </c>
      <c r="AF188" s="93">
        <v>4</v>
      </c>
      <c r="AG188" s="93">
        <v>8</v>
      </c>
      <c r="AH188" s="93">
        <v>12</v>
      </c>
      <c r="AI188" s="139">
        <v>12</v>
      </c>
      <c r="AJ188" s="154"/>
    </row>
    <row r="189" ht="18" customHeight="1" outlineLevel="1" spans="2:36">
      <c r="B189" s="161"/>
      <c r="C189" s="91" t="s">
        <v>189</v>
      </c>
      <c r="D189" s="92"/>
      <c r="E189" s="92"/>
      <c r="F189" s="93">
        <v>680</v>
      </c>
      <c r="G189" s="93">
        <v>680</v>
      </c>
      <c r="H189" s="94">
        <v>680</v>
      </c>
      <c r="I189" s="94">
        <v>680</v>
      </c>
      <c r="J189" s="93">
        <v>680</v>
      </c>
      <c r="K189" s="93">
        <v>680</v>
      </c>
      <c r="L189" s="95">
        <v>680</v>
      </c>
      <c r="M189" s="93">
        <v>680</v>
      </c>
      <c r="N189" s="93">
        <v>680</v>
      </c>
      <c r="O189" s="114">
        <v>660</v>
      </c>
      <c r="P189" s="114">
        <v>680</v>
      </c>
      <c r="Q189" s="114">
        <v>680</v>
      </c>
      <c r="R189" s="93">
        <v>680</v>
      </c>
      <c r="S189" s="93">
        <v>680</v>
      </c>
      <c r="T189" s="93">
        <v>680</v>
      </c>
      <c r="U189" s="93">
        <v>680</v>
      </c>
      <c r="V189" s="94">
        <v>680</v>
      </c>
      <c r="W189" s="96">
        <v>680</v>
      </c>
      <c r="X189" s="93">
        <v>680</v>
      </c>
      <c r="Y189" s="93">
        <v>680</v>
      </c>
      <c r="Z189" s="93">
        <v>680</v>
      </c>
      <c r="AA189" s="93">
        <v>680</v>
      </c>
      <c r="AB189" s="93">
        <v>680</v>
      </c>
      <c r="AC189" s="94">
        <v>660</v>
      </c>
      <c r="AD189" s="94">
        <v>680</v>
      </c>
      <c r="AE189" s="93">
        <v>680</v>
      </c>
      <c r="AF189" s="93">
        <v>680</v>
      </c>
      <c r="AG189" s="93">
        <v>680</v>
      </c>
      <c r="AH189" s="93">
        <v>680</v>
      </c>
      <c r="AI189" s="139">
        <v>680</v>
      </c>
      <c r="AJ189" s="154">
        <v>680</v>
      </c>
    </row>
    <row r="190" ht="18" customHeight="1" outlineLevel="1" spans="2:36">
      <c r="B190" s="161"/>
      <c r="C190" s="91" t="s">
        <v>190</v>
      </c>
      <c r="D190" s="92">
        <v>20000</v>
      </c>
      <c r="E190" s="92">
        <f>SUM(F190:AI190)</f>
        <v>22615</v>
      </c>
      <c r="F190" s="95">
        <f>F185*F188*F189*0.55</f>
        <v>0</v>
      </c>
      <c r="G190" s="95">
        <f>G185*G188*G189</f>
        <v>0</v>
      </c>
      <c r="H190" s="96">
        <f>H185*H188*H189</f>
        <v>0</v>
      </c>
      <c r="I190" s="96">
        <f>I185*I188*I189*0.65</f>
        <v>0</v>
      </c>
      <c r="J190" s="95">
        <f>J185*J188*J189*0.75</f>
        <v>0</v>
      </c>
      <c r="K190" s="95">
        <f>K185*K188*K189*0.85</f>
        <v>0</v>
      </c>
      <c r="L190" s="95">
        <f>L185*L188*L189*0.5</f>
        <v>0</v>
      </c>
      <c r="M190" s="95">
        <f>M185*M188*M189</f>
        <v>0</v>
      </c>
      <c r="N190" s="95">
        <v>0</v>
      </c>
      <c r="O190" s="115">
        <f>O185*O188*O189*0.95</f>
        <v>0</v>
      </c>
      <c r="P190" s="115">
        <f>P185*P188*P189</f>
        <v>0</v>
      </c>
      <c r="Q190" s="115">
        <f>Q185*Q188*Q189</f>
        <v>0</v>
      </c>
      <c r="R190" s="95">
        <f t="shared" ref="R190:AJ190" si="108">R185*R188*R189</f>
        <v>0</v>
      </c>
      <c r="S190" s="95">
        <f t="shared" si="108"/>
        <v>0</v>
      </c>
      <c r="T190" s="95">
        <f t="shared" si="108"/>
        <v>0</v>
      </c>
      <c r="U190" s="95">
        <f t="shared" si="108"/>
        <v>1632</v>
      </c>
      <c r="V190" s="96">
        <f>V185*V188*V189*0.85</f>
        <v>4624</v>
      </c>
      <c r="W190" s="96">
        <f>W185*W188*W189*0.85</f>
        <v>4624</v>
      </c>
      <c r="X190" s="95">
        <f>X185*X188*X189*0.85</f>
        <v>6647</v>
      </c>
      <c r="Y190" s="95">
        <f>Y185*Y188*Y189*0.85</f>
        <v>0</v>
      </c>
      <c r="Z190" s="95">
        <f t="shared" si="108"/>
        <v>0</v>
      </c>
      <c r="AA190" s="95">
        <f t="shared" si="108"/>
        <v>0</v>
      </c>
      <c r="AB190" s="128">
        <f t="shared" si="108"/>
        <v>0</v>
      </c>
      <c r="AC190" s="96">
        <f t="shared" si="108"/>
        <v>2640</v>
      </c>
      <c r="AD190" s="96">
        <f t="shared" si="108"/>
        <v>0</v>
      </c>
      <c r="AE190" s="129">
        <f t="shared" si="108"/>
        <v>0</v>
      </c>
      <c r="AF190" s="129">
        <f>AF185*AF188*AF189*0.9</f>
        <v>2448</v>
      </c>
      <c r="AG190" s="129">
        <f>AG185*AG188*AG189*0.95</f>
        <v>0</v>
      </c>
      <c r="AH190" s="129">
        <f t="shared" si="108"/>
        <v>0</v>
      </c>
      <c r="AI190" s="178">
        <f t="shared" si="108"/>
        <v>0</v>
      </c>
      <c r="AJ190" s="154">
        <f t="shared" si="108"/>
        <v>0</v>
      </c>
    </row>
    <row r="191" ht="18" customHeight="1" outlineLevel="1" spans="2:36">
      <c r="B191" s="162"/>
      <c r="C191" s="91" t="s">
        <v>191</v>
      </c>
      <c r="D191" s="92"/>
      <c r="E191" s="108">
        <f>SUM(F191:AJ191)</f>
        <v>22500</v>
      </c>
      <c r="F191" s="98"/>
      <c r="G191" s="99"/>
      <c r="H191" s="100"/>
      <c r="I191" s="100"/>
      <c r="J191" s="99"/>
      <c r="K191" s="99"/>
      <c r="L191" s="95"/>
      <c r="M191" s="95"/>
      <c r="N191" s="95"/>
      <c r="O191" s="115"/>
      <c r="P191" s="115"/>
      <c r="Q191" s="115"/>
      <c r="R191" s="95"/>
      <c r="S191" s="95"/>
      <c r="T191" s="95"/>
      <c r="U191" s="95">
        <v>1800</v>
      </c>
      <c r="V191" s="96">
        <v>4760</v>
      </c>
      <c r="W191" s="96">
        <v>4624</v>
      </c>
      <c r="X191" s="95">
        <v>3616</v>
      </c>
      <c r="Y191" s="128">
        <v>176</v>
      </c>
      <c r="Z191" s="95">
        <v>1236</v>
      </c>
      <c r="AA191" s="95"/>
      <c r="AB191" s="95"/>
      <c r="AC191" s="96">
        <v>1500</v>
      </c>
      <c r="AD191" s="96">
        <v>1700</v>
      </c>
      <c r="AE191" s="95">
        <v>1460</v>
      </c>
      <c r="AF191" s="139">
        <v>1628</v>
      </c>
      <c r="AG191" s="95"/>
      <c r="AH191" s="139"/>
      <c r="AI191" s="139"/>
      <c r="AJ191" s="154"/>
    </row>
    <row r="192" ht="18" customHeight="1" outlineLevel="1" spans="2:36">
      <c r="B192" s="161"/>
      <c r="C192" s="91" t="s">
        <v>192</v>
      </c>
      <c r="D192" s="92"/>
      <c r="E192" s="92"/>
      <c r="F192" s="95">
        <f t="shared" ref="F192:AJ192" si="109">F191-F190</f>
        <v>0</v>
      </c>
      <c r="G192" s="95">
        <f t="shared" si="109"/>
        <v>0</v>
      </c>
      <c r="H192" s="96">
        <f t="shared" si="109"/>
        <v>0</v>
      </c>
      <c r="I192" s="96">
        <f t="shared" si="109"/>
        <v>0</v>
      </c>
      <c r="J192" s="95">
        <f t="shared" si="109"/>
        <v>0</v>
      </c>
      <c r="K192" s="95">
        <f t="shared" si="109"/>
        <v>0</v>
      </c>
      <c r="L192" s="95">
        <f t="shared" si="109"/>
        <v>0</v>
      </c>
      <c r="M192" s="95">
        <f t="shared" si="109"/>
        <v>0</v>
      </c>
      <c r="N192" s="95">
        <v>0</v>
      </c>
      <c r="O192" s="115">
        <f t="shared" si="109"/>
        <v>0</v>
      </c>
      <c r="P192" s="115">
        <f t="shared" si="109"/>
        <v>0</v>
      </c>
      <c r="Q192" s="115">
        <f t="shared" si="109"/>
        <v>0</v>
      </c>
      <c r="R192" s="95">
        <f t="shared" si="109"/>
        <v>0</v>
      </c>
      <c r="S192" s="95">
        <f t="shared" si="109"/>
        <v>0</v>
      </c>
      <c r="T192" s="95">
        <f t="shared" si="109"/>
        <v>0</v>
      </c>
      <c r="U192" s="95">
        <f t="shared" si="109"/>
        <v>168</v>
      </c>
      <c r="V192" s="96">
        <f t="shared" si="109"/>
        <v>136</v>
      </c>
      <c r="W192" s="123">
        <f t="shared" si="109"/>
        <v>0</v>
      </c>
      <c r="X192" s="128">
        <f t="shared" si="109"/>
        <v>-3031</v>
      </c>
      <c r="Y192" s="128">
        <f t="shared" si="109"/>
        <v>176</v>
      </c>
      <c r="Z192" s="128">
        <f t="shared" si="109"/>
        <v>1236</v>
      </c>
      <c r="AA192" s="128">
        <f t="shared" si="109"/>
        <v>0</v>
      </c>
      <c r="AB192" s="128">
        <f t="shared" si="109"/>
        <v>0</v>
      </c>
      <c r="AC192" s="96">
        <f t="shared" si="109"/>
        <v>-1140</v>
      </c>
      <c r="AD192" s="96">
        <f t="shared" si="109"/>
        <v>1700</v>
      </c>
      <c r="AE192" s="95">
        <f t="shared" si="109"/>
        <v>1460</v>
      </c>
      <c r="AF192" s="139">
        <f t="shared" si="109"/>
        <v>-820</v>
      </c>
      <c r="AG192" s="95">
        <f t="shared" si="109"/>
        <v>0</v>
      </c>
      <c r="AH192" s="139">
        <f t="shared" si="109"/>
        <v>0</v>
      </c>
      <c r="AI192" s="139">
        <f t="shared" si="109"/>
        <v>0</v>
      </c>
      <c r="AJ192" s="154">
        <f t="shared" si="109"/>
        <v>0</v>
      </c>
    </row>
    <row r="193" ht="18" customHeight="1" outlineLevel="1" spans="2:36">
      <c r="B193" s="161"/>
      <c r="C193" s="91" t="s">
        <v>193</v>
      </c>
      <c r="D193" s="92"/>
      <c r="E193" s="92"/>
      <c r="F193" s="95">
        <f t="shared" ref="F193:H193" si="110">E193+F191</f>
        <v>0</v>
      </c>
      <c r="G193" s="95">
        <f t="shared" si="110"/>
        <v>0</v>
      </c>
      <c r="H193" s="96">
        <f t="shared" si="110"/>
        <v>0</v>
      </c>
      <c r="I193" s="96"/>
      <c r="J193" s="95">
        <f t="shared" ref="J193:AJ193" si="111">I193+J191</f>
        <v>0</v>
      </c>
      <c r="K193" s="95">
        <f t="shared" si="111"/>
        <v>0</v>
      </c>
      <c r="L193" s="95">
        <f t="shared" si="111"/>
        <v>0</v>
      </c>
      <c r="M193" s="95">
        <f t="shared" si="111"/>
        <v>0</v>
      </c>
      <c r="N193" s="95">
        <v>0</v>
      </c>
      <c r="O193" s="115">
        <f t="shared" si="111"/>
        <v>0</v>
      </c>
      <c r="P193" s="115">
        <f t="shared" si="111"/>
        <v>0</v>
      </c>
      <c r="Q193" s="115">
        <f t="shared" si="111"/>
        <v>0</v>
      </c>
      <c r="R193" s="95">
        <f t="shared" si="111"/>
        <v>0</v>
      </c>
      <c r="S193" s="95">
        <f t="shared" si="111"/>
        <v>0</v>
      </c>
      <c r="T193" s="95">
        <f t="shared" si="111"/>
        <v>0</v>
      </c>
      <c r="U193" s="95">
        <f t="shared" si="111"/>
        <v>1800</v>
      </c>
      <c r="V193" s="96">
        <f t="shared" si="111"/>
        <v>6560</v>
      </c>
      <c r="W193" s="123">
        <f t="shared" si="111"/>
        <v>11184</v>
      </c>
      <c r="X193" s="128">
        <f t="shared" si="111"/>
        <v>14800</v>
      </c>
      <c r="Y193" s="128">
        <f t="shared" si="111"/>
        <v>14976</v>
      </c>
      <c r="Z193" s="128">
        <f t="shared" si="111"/>
        <v>16212</v>
      </c>
      <c r="AA193" s="128">
        <f t="shared" si="111"/>
        <v>16212</v>
      </c>
      <c r="AB193" s="128">
        <f t="shared" si="111"/>
        <v>16212</v>
      </c>
      <c r="AC193" s="96">
        <f t="shared" si="111"/>
        <v>17712</v>
      </c>
      <c r="AD193" s="96">
        <f t="shared" si="111"/>
        <v>19412</v>
      </c>
      <c r="AE193" s="95">
        <f t="shared" si="111"/>
        <v>20872</v>
      </c>
      <c r="AF193" s="139">
        <f t="shared" si="111"/>
        <v>22500</v>
      </c>
      <c r="AG193" s="95">
        <f t="shared" si="111"/>
        <v>22500</v>
      </c>
      <c r="AH193" s="139">
        <f t="shared" si="111"/>
        <v>22500</v>
      </c>
      <c r="AI193" s="139">
        <f t="shared" si="111"/>
        <v>22500</v>
      </c>
      <c r="AJ193" s="154">
        <f t="shared" si="111"/>
        <v>22500</v>
      </c>
    </row>
    <row r="194" ht="18" customHeight="1" spans="2:36">
      <c r="B194" s="164"/>
      <c r="C194" s="102" t="s">
        <v>194</v>
      </c>
      <c r="D194" s="103"/>
      <c r="E194" s="103"/>
      <c r="F194" s="104" t="str">
        <f t="shared" ref="F194:AJ194" si="112">IF(F191&gt;0,F191/F190,"")</f>
        <v/>
      </c>
      <c r="G194" s="104" t="str">
        <f t="shared" si="112"/>
        <v/>
      </c>
      <c r="H194" s="105" t="str">
        <f t="shared" si="112"/>
        <v/>
      </c>
      <c r="I194" s="105" t="str">
        <f t="shared" si="112"/>
        <v/>
      </c>
      <c r="J194" s="104" t="str">
        <f t="shared" si="112"/>
        <v/>
      </c>
      <c r="K194" s="104" t="str">
        <f t="shared" si="112"/>
        <v/>
      </c>
      <c r="L194" s="104" t="str">
        <f t="shared" si="112"/>
        <v/>
      </c>
      <c r="M194" s="104" t="str">
        <f t="shared" si="112"/>
        <v/>
      </c>
      <c r="N194" s="104" t="s">
        <v>195</v>
      </c>
      <c r="O194" s="116" t="str">
        <f t="shared" si="112"/>
        <v/>
      </c>
      <c r="P194" s="116" t="str">
        <f t="shared" si="112"/>
        <v/>
      </c>
      <c r="Q194" s="116"/>
      <c r="R194" s="104" t="str">
        <f t="shared" si="112"/>
        <v/>
      </c>
      <c r="S194" s="104" t="str">
        <f t="shared" si="112"/>
        <v/>
      </c>
      <c r="T194" s="104" t="str">
        <f t="shared" si="112"/>
        <v/>
      </c>
      <c r="U194" s="104">
        <f t="shared" si="112"/>
        <v>1.10294117647059</v>
      </c>
      <c r="V194" s="105">
        <f t="shared" si="112"/>
        <v>1.02941176470588</v>
      </c>
      <c r="W194" s="105">
        <f t="shared" si="112"/>
        <v>1</v>
      </c>
      <c r="X194" s="104">
        <f t="shared" si="112"/>
        <v>0.544004814201896</v>
      </c>
      <c r="Y194" s="104" t="e">
        <f t="shared" si="112"/>
        <v>#DIV/0!</v>
      </c>
      <c r="Z194" s="142" t="e">
        <f t="shared" si="112"/>
        <v>#DIV/0!</v>
      </c>
      <c r="AA194" s="104" t="str">
        <f t="shared" si="112"/>
        <v/>
      </c>
      <c r="AB194" s="104" t="str">
        <f t="shared" si="112"/>
        <v/>
      </c>
      <c r="AC194" s="105">
        <f t="shared" si="112"/>
        <v>0.568181818181818</v>
      </c>
      <c r="AD194" s="105" t="e">
        <f t="shared" si="112"/>
        <v>#DIV/0!</v>
      </c>
      <c r="AE194" s="104" t="e">
        <f t="shared" si="112"/>
        <v>#DIV/0!</v>
      </c>
      <c r="AF194" s="141">
        <f t="shared" si="112"/>
        <v>0.665032679738562</v>
      </c>
      <c r="AG194" s="104" t="str">
        <f t="shared" si="112"/>
        <v/>
      </c>
      <c r="AH194" s="104" t="str">
        <f t="shared" si="112"/>
        <v/>
      </c>
      <c r="AI194" s="155" t="str">
        <f t="shared" si="112"/>
        <v/>
      </c>
      <c r="AJ194" s="156" t="str">
        <f t="shared" si="112"/>
        <v/>
      </c>
    </row>
    <row r="195" ht="18" customHeight="1" outlineLevel="1" spans="2:36">
      <c r="B195" s="160" t="s">
        <v>142</v>
      </c>
      <c r="C195" s="86" t="s">
        <v>185</v>
      </c>
      <c r="D195" s="87"/>
      <c r="E195" s="87"/>
      <c r="F195" s="88"/>
      <c r="G195" s="88">
        <v>1</v>
      </c>
      <c r="H195" s="89">
        <v>1</v>
      </c>
      <c r="I195" s="89">
        <v>1</v>
      </c>
      <c r="J195" s="88">
        <v>2</v>
      </c>
      <c r="K195" s="88">
        <v>2</v>
      </c>
      <c r="L195" s="117">
        <v>2</v>
      </c>
      <c r="M195" s="88">
        <v>2</v>
      </c>
      <c r="N195" s="88">
        <v>1</v>
      </c>
      <c r="O195" s="113"/>
      <c r="P195" s="113">
        <v>1</v>
      </c>
      <c r="Q195" s="113">
        <v>1</v>
      </c>
      <c r="R195" s="88">
        <v>1</v>
      </c>
      <c r="S195" s="88">
        <v>0.05</v>
      </c>
      <c r="T195" s="88">
        <v>1</v>
      </c>
      <c r="U195" s="88">
        <v>0.56</v>
      </c>
      <c r="V195" s="89"/>
      <c r="W195" s="122"/>
      <c r="X195" s="88">
        <v>1</v>
      </c>
      <c r="Y195" s="88">
        <v>1</v>
      </c>
      <c r="Z195" s="88">
        <v>1</v>
      </c>
      <c r="AA195" s="88"/>
      <c r="AB195" s="127"/>
      <c r="AC195" s="89"/>
      <c r="AD195" s="89">
        <v>1</v>
      </c>
      <c r="AE195" s="88">
        <v>1</v>
      </c>
      <c r="AF195" s="185"/>
      <c r="AG195" s="185"/>
      <c r="AH195" s="185"/>
      <c r="AI195" s="189"/>
      <c r="AJ195" s="158"/>
    </row>
    <row r="196" ht="18" customHeight="1" outlineLevel="1" spans="2:37">
      <c r="B196" s="161"/>
      <c r="C196" s="91" t="s">
        <v>186</v>
      </c>
      <c r="D196" s="92"/>
      <c r="E196" s="92"/>
      <c r="F196" s="93">
        <v>46</v>
      </c>
      <c r="G196" s="93">
        <v>46</v>
      </c>
      <c r="H196" s="94">
        <v>43</v>
      </c>
      <c r="I196" s="94">
        <v>43</v>
      </c>
      <c r="J196" s="93">
        <v>43</v>
      </c>
      <c r="K196" s="93">
        <v>43</v>
      </c>
      <c r="L196" s="95">
        <v>43</v>
      </c>
      <c r="M196" s="93">
        <v>43</v>
      </c>
      <c r="N196" s="93">
        <v>43</v>
      </c>
      <c r="O196" s="114">
        <v>43</v>
      </c>
      <c r="P196" s="114">
        <v>43</v>
      </c>
      <c r="Q196" s="114">
        <v>43</v>
      </c>
      <c r="R196" s="93">
        <v>43</v>
      </c>
      <c r="S196" s="95">
        <v>43</v>
      </c>
      <c r="T196" s="93">
        <v>43</v>
      </c>
      <c r="U196" s="93">
        <v>43</v>
      </c>
      <c r="V196" s="94">
        <v>43</v>
      </c>
      <c r="W196" s="94">
        <v>43</v>
      </c>
      <c r="X196" s="93">
        <v>43</v>
      </c>
      <c r="Y196" s="93">
        <v>43</v>
      </c>
      <c r="Z196" s="95">
        <v>43</v>
      </c>
      <c r="AA196" s="93">
        <v>43</v>
      </c>
      <c r="AB196" s="93">
        <v>43</v>
      </c>
      <c r="AC196" s="94">
        <v>43</v>
      </c>
      <c r="AD196" s="94">
        <v>43</v>
      </c>
      <c r="AE196" s="93">
        <v>43</v>
      </c>
      <c r="AF196" s="93">
        <v>43</v>
      </c>
      <c r="AG196" s="95">
        <v>43</v>
      </c>
      <c r="AH196" s="93">
        <v>43</v>
      </c>
      <c r="AI196" s="93">
        <v>43</v>
      </c>
      <c r="AJ196" s="94">
        <v>43</v>
      </c>
      <c r="AK196" s="94"/>
    </row>
    <row r="197" ht="18" customHeight="1" outlineLevel="1" spans="2:36">
      <c r="B197" s="161"/>
      <c r="C197" s="91" t="s">
        <v>187</v>
      </c>
      <c r="D197" s="92"/>
      <c r="E197" s="92"/>
      <c r="F197" s="93">
        <v>0</v>
      </c>
      <c r="G197" s="93">
        <f>+G195*G196</f>
        <v>46</v>
      </c>
      <c r="H197" s="94">
        <f t="shared" ref="H197:Y197" si="113">+H195*H196</f>
        <v>43</v>
      </c>
      <c r="I197" s="94">
        <f t="shared" si="113"/>
        <v>43</v>
      </c>
      <c r="J197" s="93">
        <f t="shared" si="113"/>
        <v>86</v>
      </c>
      <c r="K197" s="93">
        <f t="shared" si="113"/>
        <v>86</v>
      </c>
      <c r="L197" s="93">
        <f t="shared" si="113"/>
        <v>86</v>
      </c>
      <c r="M197" s="93">
        <f t="shared" si="113"/>
        <v>86</v>
      </c>
      <c r="N197" s="93">
        <v>43</v>
      </c>
      <c r="O197" s="114">
        <f t="shared" si="113"/>
        <v>0</v>
      </c>
      <c r="P197" s="114">
        <f t="shared" si="113"/>
        <v>43</v>
      </c>
      <c r="Q197" s="114">
        <f t="shared" si="113"/>
        <v>43</v>
      </c>
      <c r="R197" s="93">
        <f t="shared" si="113"/>
        <v>43</v>
      </c>
      <c r="S197" s="93">
        <v>8</v>
      </c>
      <c r="T197" s="93">
        <f t="shared" si="113"/>
        <v>43</v>
      </c>
      <c r="U197" s="93">
        <f t="shared" si="113"/>
        <v>24.08</v>
      </c>
      <c r="V197" s="94">
        <f t="shared" si="113"/>
        <v>0</v>
      </c>
      <c r="W197" s="94">
        <f t="shared" si="113"/>
        <v>0</v>
      </c>
      <c r="X197" s="93">
        <f t="shared" si="113"/>
        <v>43</v>
      </c>
      <c r="Y197" s="93">
        <f t="shared" si="113"/>
        <v>43</v>
      </c>
      <c r="Z197" s="93">
        <v>1</v>
      </c>
      <c r="AA197" s="93">
        <v>43</v>
      </c>
      <c r="AB197" s="93">
        <v>43</v>
      </c>
      <c r="AC197" s="94">
        <f>+AC195*AC196</f>
        <v>0</v>
      </c>
      <c r="AD197" s="94">
        <f t="shared" ref="AD197:AI197" si="114">+AD195*AD196</f>
        <v>43</v>
      </c>
      <c r="AE197" s="93">
        <f t="shared" si="114"/>
        <v>43</v>
      </c>
      <c r="AF197" s="93">
        <f t="shared" si="114"/>
        <v>0</v>
      </c>
      <c r="AG197" s="93">
        <f t="shared" si="114"/>
        <v>0</v>
      </c>
      <c r="AH197" s="93">
        <f t="shared" si="114"/>
        <v>0</v>
      </c>
      <c r="AI197" s="93">
        <f t="shared" si="114"/>
        <v>0</v>
      </c>
      <c r="AJ197" s="154">
        <v>0</v>
      </c>
    </row>
    <row r="198" ht="18" customHeight="1" outlineLevel="1" spans="2:36">
      <c r="B198" s="161"/>
      <c r="C198" s="91" t="s">
        <v>188</v>
      </c>
      <c r="D198" s="92"/>
      <c r="E198" s="92"/>
      <c r="F198" s="93">
        <v>11.5</v>
      </c>
      <c r="G198" s="93">
        <v>7</v>
      </c>
      <c r="H198" s="114">
        <v>8</v>
      </c>
      <c r="I198" s="114">
        <v>12</v>
      </c>
      <c r="J198" s="93">
        <v>8</v>
      </c>
      <c r="K198" s="93">
        <v>11.5</v>
      </c>
      <c r="L198" s="95">
        <v>11.5</v>
      </c>
      <c r="M198" s="93">
        <v>11.5</v>
      </c>
      <c r="N198" s="93">
        <v>11.5</v>
      </c>
      <c r="O198" s="114">
        <v>11.5</v>
      </c>
      <c r="P198" s="114">
        <v>11.5</v>
      </c>
      <c r="Q198" s="114">
        <v>8</v>
      </c>
      <c r="R198" s="93">
        <v>8</v>
      </c>
      <c r="S198" s="93">
        <v>11.5</v>
      </c>
      <c r="T198" s="93">
        <v>8</v>
      </c>
      <c r="U198" s="93">
        <v>8</v>
      </c>
      <c r="V198" s="94">
        <v>11.5</v>
      </c>
      <c r="W198" s="96"/>
      <c r="X198" s="93">
        <v>8</v>
      </c>
      <c r="Y198" s="93">
        <v>11.5</v>
      </c>
      <c r="Z198" s="93">
        <v>11.5</v>
      </c>
      <c r="AA198" s="93">
        <v>11.5</v>
      </c>
      <c r="AB198" s="93">
        <v>11.5</v>
      </c>
      <c r="AC198" s="94">
        <v>11.5</v>
      </c>
      <c r="AD198" s="94">
        <v>8</v>
      </c>
      <c r="AE198" s="93">
        <v>11.5</v>
      </c>
      <c r="AF198" s="93">
        <v>12</v>
      </c>
      <c r="AG198" s="93">
        <v>8</v>
      </c>
      <c r="AH198" s="93">
        <v>12</v>
      </c>
      <c r="AI198" s="139">
        <v>12</v>
      </c>
      <c r="AJ198" s="154"/>
    </row>
    <row r="199" ht="18" customHeight="1" outlineLevel="1" spans="2:36">
      <c r="B199" s="161"/>
      <c r="C199" s="91" t="s">
        <v>189</v>
      </c>
      <c r="D199" s="92"/>
      <c r="E199" s="92"/>
      <c r="F199" s="93">
        <v>660</v>
      </c>
      <c r="G199" s="93">
        <v>660</v>
      </c>
      <c r="H199" s="114">
        <v>680</v>
      </c>
      <c r="I199" s="114">
        <v>680</v>
      </c>
      <c r="J199" s="93">
        <v>680</v>
      </c>
      <c r="K199" s="93">
        <v>680</v>
      </c>
      <c r="L199" s="95">
        <v>680</v>
      </c>
      <c r="M199" s="93">
        <v>680</v>
      </c>
      <c r="N199" s="93">
        <v>680</v>
      </c>
      <c r="O199" s="114">
        <v>660</v>
      </c>
      <c r="P199" s="114">
        <v>680</v>
      </c>
      <c r="Q199" s="114">
        <v>680</v>
      </c>
      <c r="R199" s="93">
        <v>680</v>
      </c>
      <c r="S199" s="93">
        <v>680</v>
      </c>
      <c r="T199" s="93">
        <v>680</v>
      </c>
      <c r="U199" s="93">
        <v>680</v>
      </c>
      <c r="V199" s="114">
        <v>680</v>
      </c>
      <c r="W199" s="115">
        <v>680</v>
      </c>
      <c r="X199" s="93">
        <v>680</v>
      </c>
      <c r="Y199" s="93">
        <v>680</v>
      </c>
      <c r="Z199" s="93">
        <v>680</v>
      </c>
      <c r="AA199" s="93">
        <v>680</v>
      </c>
      <c r="AB199" s="93">
        <v>680</v>
      </c>
      <c r="AC199" s="94">
        <v>660</v>
      </c>
      <c r="AD199" s="94">
        <v>680</v>
      </c>
      <c r="AE199" s="93">
        <v>680</v>
      </c>
      <c r="AF199" s="93">
        <v>680</v>
      </c>
      <c r="AG199" s="93">
        <v>680</v>
      </c>
      <c r="AH199" s="93">
        <v>680</v>
      </c>
      <c r="AI199" s="139">
        <v>680</v>
      </c>
      <c r="AJ199" s="154">
        <v>680</v>
      </c>
    </row>
    <row r="200" ht="18" customHeight="1" outlineLevel="1" spans="2:36">
      <c r="B200" s="161"/>
      <c r="C200" s="91" t="s">
        <v>190</v>
      </c>
      <c r="D200" s="92">
        <v>177000</v>
      </c>
      <c r="E200" s="92">
        <f>SUM(F200:AJ200)</f>
        <v>127304.4</v>
      </c>
      <c r="F200" s="95">
        <v>0</v>
      </c>
      <c r="G200" s="95">
        <f>+G195*G198*G199*0.45</f>
        <v>2079</v>
      </c>
      <c r="H200" s="115">
        <f>+H195*H198*H199*0.55</f>
        <v>2992</v>
      </c>
      <c r="I200" s="115">
        <f>+I195*I198*I199*0.65</f>
        <v>5304</v>
      </c>
      <c r="J200" s="95">
        <f>+J195*J198*J199*0.75</f>
        <v>8160</v>
      </c>
      <c r="K200" s="95">
        <f>+K195*K198*K199*0.85</f>
        <v>13294</v>
      </c>
      <c r="L200" s="95">
        <f>+L195*L198*L199*0.95</f>
        <v>14858</v>
      </c>
      <c r="M200" s="95">
        <f t="shared" ref="M200:W200" si="115">+M195*M198*M199</f>
        <v>15640</v>
      </c>
      <c r="N200" s="95">
        <v>7820</v>
      </c>
      <c r="O200" s="115">
        <f t="shared" si="115"/>
        <v>0</v>
      </c>
      <c r="P200" s="115">
        <f t="shared" si="115"/>
        <v>7820</v>
      </c>
      <c r="Q200" s="115">
        <f t="shared" si="115"/>
        <v>5440</v>
      </c>
      <c r="R200" s="95">
        <f t="shared" si="115"/>
        <v>5440</v>
      </c>
      <c r="S200" s="95">
        <f t="shared" si="115"/>
        <v>391</v>
      </c>
      <c r="T200" s="95">
        <f t="shared" si="115"/>
        <v>5440</v>
      </c>
      <c r="U200" s="95">
        <f t="shared" si="115"/>
        <v>3046.4</v>
      </c>
      <c r="V200" s="115">
        <f t="shared" si="115"/>
        <v>0</v>
      </c>
      <c r="W200" s="115">
        <f t="shared" si="115"/>
        <v>0</v>
      </c>
      <c r="X200" s="95">
        <f>+X195*X198*X199*0.85</f>
        <v>4624</v>
      </c>
      <c r="Y200" s="95">
        <f>+Y195*Y198*Y199*0.85</f>
        <v>6647</v>
      </c>
      <c r="Z200" s="95">
        <f>+Z195*Z198*Z199*0.85</f>
        <v>6647</v>
      </c>
      <c r="AA200" s="95">
        <f>+AA195*AA198*AA199*0.85</f>
        <v>0</v>
      </c>
      <c r="AB200" s="95">
        <f>+AB195*AB198*AB199*0.85</f>
        <v>0</v>
      </c>
      <c r="AC200" s="130">
        <f>+AC195*AC198*AC199*0.8</f>
        <v>0</v>
      </c>
      <c r="AD200" s="130">
        <f>+AD195*AD198*AD199*0.85</f>
        <v>4624</v>
      </c>
      <c r="AE200" s="129">
        <f>+AE195*AE198*AE199*0.9</f>
        <v>7038</v>
      </c>
      <c r="AF200" s="129">
        <f>+AF195*AF198*AF199</f>
        <v>0</v>
      </c>
      <c r="AG200" s="129">
        <f>+AG195*AG198*AG199</f>
        <v>0</v>
      </c>
      <c r="AH200" s="129">
        <f>+AH195*AH198*AH199</f>
        <v>0</v>
      </c>
      <c r="AI200" s="129">
        <f>+AI195*AI198*AI199</f>
        <v>0</v>
      </c>
      <c r="AJ200" s="154">
        <v>0</v>
      </c>
    </row>
    <row r="201" ht="18" customHeight="1" outlineLevel="1" spans="2:36">
      <c r="B201" s="162"/>
      <c r="C201" s="91" t="s">
        <v>191</v>
      </c>
      <c r="D201" s="92"/>
      <c r="E201" s="108">
        <f>SUM(F201:AJ201)</f>
        <v>118948</v>
      </c>
      <c r="F201" s="98"/>
      <c r="G201" s="99">
        <v>1904</v>
      </c>
      <c r="H201" s="163">
        <v>2992</v>
      </c>
      <c r="I201" s="163">
        <v>5712</v>
      </c>
      <c r="J201" s="99">
        <v>9666</v>
      </c>
      <c r="K201" s="99">
        <v>13770</v>
      </c>
      <c r="L201" s="95">
        <v>15753</v>
      </c>
      <c r="M201" s="95">
        <v>14505</v>
      </c>
      <c r="N201" s="95">
        <v>8170</v>
      </c>
      <c r="O201" s="115"/>
      <c r="P201" s="115">
        <v>8100</v>
      </c>
      <c r="Q201" s="115">
        <v>5852</v>
      </c>
      <c r="R201" s="95">
        <v>5416</v>
      </c>
      <c r="S201" s="95">
        <v>412</v>
      </c>
      <c r="T201" s="95">
        <v>4620</v>
      </c>
      <c r="U201" s="95">
        <v>3480</v>
      </c>
      <c r="V201" s="115"/>
      <c r="W201" s="115"/>
      <c r="X201" s="95">
        <v>4136</v>
      </c>
      <c r="Y201" s="128">
        <v>5264</v>
      </c>
      <c r="Z201" s="95">
        <v>196</v>
      </c>
      <c r="AA201" s="95"/>
      <c r="AB201" s="95"/>
      <c r="AC201" s="96"/>
      <c r="AD201" s="96">
        <v>4600</v>
      </c>
      <c r="AE201" s="95">
        <v>4400</v>
      </c>
      <c r="AF201" s="139"/>
      <c r="AG201" s="95"/>
      <c r="AH201" s="139"/>
      <c r="AI201" s="139"/>
      <c r="AJ201" s="154"/>
    </row>
    <row r="202" ht="18" customHeight="1" outlineLevel="1" spans="2:36">
      <c r="B202" s="161"/>
      <c r="C202" s="91" t="s">
        <v>192</v>
      </c>
      <c r="D202" s="92"/>
      <c r="E202" s="92"/>
      <c r="F202" s="95">
        <v>0</v>
      </c>
      <c r="G202" s="95">
        <f>+G201-G200</f>
        <v>-175</v>
      </c>
      <c r="H202" s="115">
        <f t="shared" ref="H202:AB202" si="116">+H201-H200</f>
        <v>0</v>
      </c>
      <c r="I202" s="115">
        <f t="shared" si="116"/>
        <v>408</v>
      </c>
      <c r="J202" s="95">
        <f t="shared" si="116"/>
        <v>1506</v>
      </c>
      <c r="K202" s="95">
        <f t="shared" si="116"/>
        <v>476</v>
      </c>
      <c r="L202" s="95">
        <f t="shared" si="116"/>
        <v>895</v>
      </c>
      <c r="M202" s="95">
        <f t="shared" si="116"/>
        <v>-1135</v>
      </c>
      <c r="N202" s="95">
        <v>350</v>
      </c>
      <c r="O202" s="115">
        <f t="shared" si="116"/>
        <v>0</v>
      </c>
      <c r="P202" s="115">
        <f t="shared" si="116"/>
        <v>280</v>
      </c>
      <c r="Q202" s="115">
        <f t="shared" si="116"/>
        <v>412</v>
      </c>
      <c r="R202" s="95">
        <f t="shared" si="116"/>
        <v>-24</v>
      </c>
      <c r="S202" s="95">
        <f t="shared" si="116"/>
        <v>20.9999999999999</v>
      </c>
      <c r="T202" s="95">
        <f t="shared" si="116"/>
        <v>-820</v>
      </c>
      <c r="U202" s="95">
        <f t="shared" si="116"/>
        <v>433.6</v>
      </c>
      <c r="V202" s="115">
        <f t="shared" si="116"/>
        <v>0</v>
      </c>
      <c r="W202" s="115">
        <f t="shared" si="116"/>
        <v>0</v>
      </c>
      <c r="X202" s="95">
        <f t="shared" si="116"/>
        <v>-488</v>
      </c>
      <c r="Y202" s="95">
        <f t="shared" si="116"/>
        <v>-1383</v>
      </c>
      <c r="Z202" s="95">
        <f t="shared" si="116"/>
        <v>-6451</v>
      </c>
      <c r="AA202" s="95">
        <f t="shared" si="116"/>
        <v>0</v>
      </c>
      <c r="AB202" s="95">
        <f t="shared" si="116"/>
        <v>0</v>
      </c>
      <c r="AC202" s="96"/>
      <c r="AD202" s="96">
        <f t="shared" ref="AD202:AI202" si="117">+AD201-AD200</f>
        <v>-24</v>
      </c>
      <c r="AE202" s="95">
        <f t="shared" si="117"/>
        <v>-2638</v>
      </c>
      <c r="AF202" s="95">
        <f t="shared" si="117"/>
        <v>0</v>
      </c>
      <c r="AG202" s="95">
        <f t="shared" si="117"/>
        <v>0</v>
      </c>
      <c r="AH202" s="95">
        <f t="shared" si="117"/>
        <v>0</v>
      </c>
      <c r="AI202" s="95">
        <f t="shared" si="117"/>
        <v>0</v>
      </c>
      <c r="AJ202" s="154">
        <v>0</v>
      </c>
    </row>
    <row r="203" ht="18" customHeight="1" outlineLevel="1" spans="2:36">
      <c r="B203" s="161"/>
      <c r="C203" s="91" t="s">
        <v>193</v>
      </c>
      <c r="D203" s="92"/>
      <c r="E203" s="92"/>
      <c r="F203" s="95">
        <v>0</v>
      </c>
      <c r="G203" s="95">
        <f>+F203+G201</f>
        <v>1904</v>
      </c>
      <c r="H203" s="115">
        <f t="shared" ref="H203:Y203" si="118">+G203+H201</f>
        <v>4896</v>
      </c>
      <c r="I203" s="115">
        <f t="shared" si="118"/>
        <v>10608</v>
      </c>
      <c r="J203" s="95">
        <f t="shared" si="118"/>
        <v>20274</v>
      </c>
      <c r="K203" s="95">
        <f t="shared" si="118"/>
        <v>34044</v>
      </c>
      <c r="L203" s="95">
        <f t="shared" si="118"/>
        <v>49797</v>
      </c>
      <c r="M203" s="95">
        <f t="shared" si="118"/>
        <v>64302</v>
      </c>
      <c r="N203" s="95">
        <v>72472</v>
      </c>
      <c r="O203" s="115">
        <f t="shared" si="118"/>
        <v>72472</v>
      </c>
      <c r="P203" s="115">
        <f t="shared" si="118"/>
        <v>80572</v>
      </c>
      <c r="Q203" s="115">
        <f t="shared" si="118"/>
        <v>86424</v>
      </c>
      <c r="R203" s="95">
        <f t="shared" si="118"/>
        <v>91840</v>
      </c>
      <c r="S203" s="95">
        <f t="shared" si="118"/>
        <v>92252</v>
      </c>
      <c r="T203" s="95">
        <f t="shared" si="118"/>
        <v>96872</v>
      </c>
      <c r="U203" s="95">
        <f t="shared" si="118"/>
        <v>100352</v>
      </c>
      <c r="V203" s="115">
        <f t="shared" si="118"/>
        <v>100352</v>
      </c>
      <c r="W203" s="115">
        <f t="shared" si="118"/>
        <v>100352</v>
      </c>
      <c r="X203" s="95">
        <f t="shared" si="118"/>
        <v>104488</v>
      </c>
      <c r="Y203" s="95">
        <f t="shared" si="118"/>
        <v>109752</v>
      </c>
      <c r="Z203" s="128">
        <v>20274</v>
      </c>
      <c r="AA203" s="128">
        <v>20274</v>
      </c>
      <c r="AB203" s="128">
        <v>20274</v>
      </c>
      <c r="AC203" s="96">
        <v>20274</v>
      </c>
      <c r="AD203" s="96">
        <v>20274</v>
      </c>
      <c r="AE203" s="95">
        <v>20274</v>
      </c>
      <c r="AF203" s="139">
        <v>20274</v>
      </c>
      <c r="AG203" s="95">
        <v>20274</v>
      </c>
      <c r="AH203" s="139">
        <v>20274</v>
      </c>
      <c r="AI203" s="139">
        <v>20274</v>
      </c>
      <c r="AJ203" s="154">
        <v>20274</v>
      </c>
    </row>
    <row r="204" ht="18" customHeight="1" spans="2:36">
      <c r="B204" s="164"/>
      <c r="C204" s="102" t="s">
        <v>194</v>
      </c>
      <c r="D204" s="103"/>
      <c r="E204" s="103"/>
      <c r="F204" s="104"/>
      <c r="G204" s="104">
        <f>+G201/G200</f>
        <v>0.915824915824916</v>
      </c>
      <c r="H204" s="116">
        <f t="shared" ref="H204:W204" si="119">+H201/H200</f>
        <v>1</v>
      </c>
      <c r="I204" s="116">
        <f t="shared" si="119"/>
        <v>1.07692307692308</v>
      </c>
      <c r="J204" s="104">
        <f t="shared" si="119"/>
        <v>1.18455882352941</v>
      </c>
      <c r="K204" s="104">
        <f t="shared" si="119"/>
        <v>1.03580562659847</v>
      </c>
      <c r="L204" s="104">
        <f t="shared" si="119"/>
        <v>1.06023690940907</v>
      </c>
      <c r="M204" s="104">
        <f t="shared" si="119"/>
        <v>0.927429667519182</v>
      </c>
      <c r="N204" s="104">
        <v>1.04475703324808</v>
      </c>
      <c r="O204" s="116" t="e">
        <f t="shared" si="119"/>
        <v>#DIV/0!</v>
      </c>
      <c r="P204" s="116">
        <f t="shared" si="119"/>
        <v>1.03580562659847</v>
      </c>
      <c r="Q204" s="116">
        <f t="shared" si="119"/>
        <v>1.07573529411765</v>
      </c>
      <c r="R204" s="104">
        <f t="shared" si="119"/>
        <v>0.995588235294118</v>
      </c>
      <c r="S204" s="104">
        <f t="shared" si="119"/>
        <v>1.0537084398977</v>
      </c>
      <c r="T204" s="104">
        <f t="shared" si="119"/>
        <v>0.849264705882353</v>
      </c>
      <c r="U204" s="104">
        <f t="shared" si="119"/>
        <v>1.14233193277311</v>
      </c>
      <c r="V204" s="116" t="e">
        <f t="shared" si="119"/>
        <v>#DIV/0!</v>
      </c>
      <c r="W204" s="116" t="e">
        <f t="shared" si="119"/>
        <v>#DIV/0!</v>
      </c>
      <c r="X204" s="142">
        <f t="shared" ref="X204:AI204" si="120">IF(X201&gt;0,X201/X200,"")</f>
        <v>0.894463667820069</v>
      </c>
      <c r="Y204" s="142">
        <f t="shared" si="120"/>
        <v>0.791936211824883</v>
      </c>
      <c r="Z204" s="142">
        <f t="shared" si="120"/>
        <v>0.029486986610501</v>
      </c>
      <c r="AA204" s="142" t="str">
        <f t="shared" si="120"/>
        <v/>
      </c>
      <c r="AB204" s="142" t="str">
        <f t="shared" si="120"/>
        <v/>
      </c>
      <c r="AC204" s="177" t="str">
        <f t="shared" si="120"/>
        <v/>
      </c>
      <c r="AD204" s="177">
        <f t="shared" si="120"/>
        <v>0.994809688581315</v>
      </c>
      <c r="AE204" s="142">
        <f t="shared" si="120"/>
        <v>0.625177607274794</v>
      </c>
      <c r="AF204" s="142" t="str">
        <f t="shared" si="120"/>
        <v/>
      </c>
      <c r="AG204" s="142" t="str">
        <f t="shared" si="120"/>
        <v/>
      </c>
      <c r="AH204" s="142" t="str">
        <f t="shared" si="120"/>
        <v/>
      </c>
      <c r="AI204" s="142" t="str">
        <f t="shared" si="120"/>
        <v/>
      </c>
      <c r="AJ204" s="156"/>
    </row>
    <row r="205" ht="18" customHeight="1" outlineLevel="1" spans="2:36">
      <c r="B205" s="160" t="s">
        <v>77</v>
      </c>
      <c r="C205" s="86" t="s">
        <v>185</v>
      </c>
      <c r="D205" s="87"/>
      <c r="E205" s="87"/>
      <c r="F205" s="88"/>
      <c r="G205" s="88">
        <v>1</v>
      </c>
      <c r="H205" s="113">
        <v>2</v>
      </c>
      <c r="I205" s="113">
        <v>1</v>
      </c>
      <c r="J205" s="88">
        <v>1</v>
      </c>
      <c r="K205" s="88">
        <v>1</v>
      </c>
      <c r="L205" s="88">
        <v>1</v>
      </c>
      <c r="M205" s="88">
        <v>1</v>
      </c>
      <c r="N205" s="88">
        <v>0.5</v>
      </c>
      <c r="O205" s="113"/>
      <c r="P205" s="113">
        <v>1</v>
      </c>
      <c r="Q205" s="113">
        <v>1</v>
      </c>
      <c r="R205" s="88">
        <v>1</v>
      </c>
      <c r="S205" s="88">
        <v>1</v>
      </c>
      <c r="T205" s="88"/>
      <c r="U205" s="88"/>
      <c r="V205" s="113"/>
      <c r="W205" s="179">
        <v>0.1</v>
      </c>
      <c r="X205" s="180">
        <v>1</v>
      </c>
      <c r="Y205" s="180"/>
      <c r="Z205" s="180"/>
      <c r="AA205" s="180">
        <v>1</v>
      </c>
      <c r="AB205" s="180">
        <v>1</v>
      </c>
      <c r="AC205" s="167">
        <v>1</v>
      </c>
      <c r="AD205" s="167">
        <v>1</v>
      </c>
      <c r="AE205" s="168">
        <v>1</v>
      </c>
      <c r="AF205" s="186">
        <v>1</v>
      </c>
      <c r="AG205" s="169">
        <v>1</v>
      </c>
      <c r="AH205" s="190">
        <v>1</v>
      </c>
      <c r="AI205" s="190"/>
      <c r="AJ205" s="158"/>
    </row>
    <row r="206" ht="18" customHeight="1" outlineLevel="1" spans="2:37">
      <c r="B206" s="161"/>
      <c r="C206" s="91" t="s">
        <v>186</v>
      </c>
      <c r="D206" s="92"/>
      <c r="E206" s="92"/>
      <c r="F206" s="93">
        <v>44</v>
      </c>
      <c r="G206" s="93">
        <v>44</v>
      </c>
      <c r="H206" s="114">
        <v>44</v>
      </c>
      <c r="I206" s="114">
        <v>44</v>
      </c>
      <c r="J206" s="93">
        <v>44</v>
      </c>
      <c r="K206" s="93">
        <v>44</v>
      </c>
      <c r="L206" s="93">
        <v>44</v>
      </c>
      <c r="M206" s="93">
        <v>44</v>
      </c>
      <c r="N206" s="93">
        <v>44</v>
      </c>
      <c r="O206" s="114">
        <v>44</v>
      </c>
      <c r="P206" s="114">
        <v>44</v>
      </c>
      <c r="Q206" s="114">
        <v>44</v>
      </c>
      <c r="R206" s="93">
        <v>44</v>
      </c>
      <c r="S206" s="93">
        <v>44</v>
      </c>
      <c r="T206" s="93">
        <v>44</v>
      </c>
      <c r="U206" s="93">
        <v>44</v>
      </c>
      <c r="V206" s="114">
        <v>44</v>
      </c>
      <c r="W206" s="114">
        <v>44</v>
      </c>
      <c r="X206" s="93">
        <v>44</v>
      </c>
      <c r="Y206" s="93">
        <v>44</v>
      </c>
      <c r="Z206" s="93">
        <v>44</v>
      </c>
      <c r="AA206" s="93">
        <v>44</v>
      </c>
      <c r="AB206" s="93">
        <v>44</v>
      </c>
      <c r="AC206" s="94">
        <v>44</v>
      </c>
      <c r="AD206" s="94">
        <v>44</v>
      </c>
      <c r="AE206" s="93">
        <v>44</v>
      </c>
      <c r="AF206" s="93">
        <v>44</v>
      </c>
      <c r="AG206" s="93">
        <v>44</v>
      </c>
      <c r="AH206" s="93">
        <v>44</v>
      </c>
      <c r="AI206" s="93">
        <v>44</v>
      </c>
      <c r="AJ206" s="94">
        <v>44</v>
      </c>
      <c r="AK206" s="94"/>
    </row>
    <row r="207" ht="18" customHeight="1" outlineLevel="1" spans="2:36">
      <c r="B207" s="161"/>
      <c r="C207" s="91" t="s">
        <v>187</v>
      </c>
      <c r="D207" s="92"/>
      <c r="E207" s="92"/>
      <c r="F207" s="93">
        <v>0</v>
      </c>
      <c r="G207" s="93">
        <v>44</v>
      </c>
      <c r="H207" s="94">
        <v>88</v>
      </c>
      <c r="I207" s="94">
        <v>44</v>
      </c>
      <c r="J207" s="93">
        <v>44</v>
      </c>
      <c r="K207" s="93">
        <v>44</v>
      </c>
      <c r="L207" s="93">
        <v>44</v>
      </c>
      <c r="M207" s="93">
        <v>44</v>
      </c>
      <c r="N207" s="93">
        <v>44</v>
      </c>
      <c r="O207" s="114">
        <v>0</v>
      </c>
      <c r="P207" s="114">
        <v>44</v>
      </c>
      <c r="Q207" s="114">
        <v>44</v>
      </c>
      <c r="R207" s="93">
        <f t="shared" ref="R207:AI207" si="121">+R205*R206</f>
        <v>44</v>
      </c>
      <c r="S207" s="93">
        <f t="shared" si="121"/>
        <v>44</v>
      </c>
      <c r="T207" s="93">
        <f t="shared" si="121"/>
        <v>0</v>
      </c>
      <c r="U207" s="93">
        <f t="shared" si="121"/>
        <v>0</v>
      </c>
      <c r="V207" s="94">
        <v>0</v>
      </c>
      <c r="W207" s="114">
        <f t="shared" si="121"/>
        <v>4.4</v>
      </c>
      <c r="X207" s="93">
        <f t="shared" si="121"/>
        <v>44</v>
      </c>
      <c r="Y207" s="93">
        <f t="shared" si="121"/>
        <v>0</v>
      </c>
      <c r="Z207" s="93">
        <f t="shared" si="121"/>
        <v>0</v>
      </c>
      <c r="AA207" s="93">
        <f t="shared" si="121"/>
        <v>44</v>
      </c>
      <c r="AB207" s="93">
        <f t="shared" si="121"/>
        <v>44</v>
      </c>
      <c r="AC207" s="94">
        <f t="shared" si="121"/>
        <v>44</v>
      </c>
      <c r="AD207" s="94">
        <f t="shared" si="121"/>
        <v>44</v>
      </c>
      <c r="AE207" s="93">
        <f t="shared" si="121"/>
        <v>44</v>
      </c>
      <c r="AF207" s="93">
        <f t="shared" si="121"/>
        <v>44</v>
      </c>
      <c r="AG207" s="93">
        <f t="shared" si="121"/>
        <v>44</v>
      </c>
      <c r="AH207" s="93">
        <f t="shared" si="121"/>
        <v>44</v>
      </c>
      <c r="AI207" s="93">
        <f t="shared" si="121"/>
        <v>0</v>
      </c>
      <c r="AJ207" s="154">
        <v>0</v>
      </c>
    </row>
    <row r="208" ht="18" customHeight="1" outlineLevel="1" spans="2:36">
      <c r="B208" s="161"/>
      <c r="C208" s="91" t="s">
        <v>188</v>
      </c>
      <c r="D208" s="92"/>
      <c r="E208" s="92"/>
      <c r="F208" s="93">
        <v>11.5</v>
      </c>
      <c r="G208" s="93">
        <v>11.5</v>
      </c>
      <c r="H208" s="94">
        <v>7.5</v>
      </c>
      <c r="I208" s="94">
        <v>8</v>
      </c>
      <c r="J208" s="93">
        <v>8</v>
      </c>
      <c r="K208" s="93">
        <v>11.5</v>
      </c>
      <c r="L208" s="93">
        <v>11.5</v>
      </c>
      <c r="M208" s="93">
        <v>11.5</v>
      </c>
      <c r="N208" s="93">
        <v>8</v>
      </c>
      <c r="O208" s="114">
        <v>1</v>
      </c>
      <c r="P208" s="114">
        <v>11.5</v>
      </c>
      <c r="Q208" s="114">
        <v>8</v>
      </c>
      <c r="R208" s="93">
        <v>11.5</v>
      </c>
      <c r="S208" s="93">
        <v>11.5</v>
      </c>
      <c r="T208" s="93">
        <v>11.5</v>
      </c>
      <c r="U208" s="93">
        <v>8</v>
      </c>
      <c r="V208" s="94"/>
      <c r="W208" s="115">
        <v>8</v>
      </c>
      <c r="X208" s="93">
        <v>4</v>
      </c>
      <c r="Y208" s="93">
        <v>11.5</v>
      </c>
      <c r="Z208" s="93">
        <v>11.5</v>
      </c>
      <c r="AA208" s="93">
        <v>6</v>
      </c>
      <c r="AB208" s="93">
        <v>11.5</v>
      </c>
      <c r="AC208" s="94">
        <v>11.5</v>
      </c>
      <c r="AD208" s="94">
        <v>8</v>
      </c>
      <c r="AE208" s="93">
        <v>11.5</v>
      </c>
      <c r="AF208" s="93">
        <v>11.5</v>
      </c>
      <c r="AG208" s="93">
        <v>11.5</v>
      </c>
      <c r="AH208" s="139">
        <v>11.5</v>
      </c>
      <c r="AI208" s="139">
        <v>11.5</v>
      </c>
      <c r="AJ208" s="154"/>
    </row>
    <row r="209" ht="18" customHeight="1" outlineLevel="1" spans="2:36">
      <c r="B209" s="161"/>
      <c r="C209" s="91" t="s">
        <v>189</v>
      </c>
      <c r="D209" s="92"/>
      <c r="E209" s="92"/>
      <c r="F209" s="93">
        <v>660</v>
      </c>
      <c r="G209" s="93">
        <v>660</v>
      </c>
      <c r="H209" s="94">
        <v>660</v>
      </c>
      <c r="I209" s="94">
        <v>660</v>
      </c>
      <c r="J209" s="93">
        <v>660</v>
      </c>
      <c r="K209" s="93">
        <v>660</v>
      </c>
      <c r="L209" s="93">
        <v>660</v>
      </c>
      <c r="M209" s="93">
        <v>660</v>
      </c>
      <c r="N209" s="93">
        <v>660</v>
      </c>
      <c r="O209" s="114">
        <v>660</v>
      </c>
      <c r="P209" s="114">
        <v>660</v>
      </c>
      <c r="Q209" s="114">
        <v>660</v>
      </c>
      <c r="R209" s="93">
        <v>660</v>
      </c>
      <c r="S209" s="93">
        <v>660</v>
      </c>
      <c r="T209" s="93">
        <v>660</v>
      </c>
      <c r="U209" s="93">
        <v>660</v>
      </c>
      <c r="V209" s="94">
        <v>660</v>
      </c>
      <c r="W209" s="96">
        <v>660</v>
      </c>
      <c r="X209" s="93">
        <v>680</v>
      </c>
      <c r="Y209" s="128">
        <v>680</v>
      </c>
      <c r="Z209" s="93">
        <v>680</v>
      </c>
      <c r="AA209" s="93">
        <v>680</v>
      </c>
      <c r="AB209" s="93">
        <v>680</v>
      </c>
      <c r="AC209" s="94">
        <v>680</v>
      </c>
      <c r="AD209" s="94">
        <v>680</v>
      </c>
      <c r="AE209" s="93">
        <v>680</v>
      </c>
      <c r="AF209" s="93">
        <v>680</v>
      </c>
      <c r="AG209" s="93">
        <v>680</v>
      </c>
      <c r="AH209" s="93">
        <v>680</v>
      </c>
      <c r="AI209" s="93">
        <v>680</v>
      </c>
      <c r="AJ209" s="154">
        <v>680</v>
      </c>
    </row>
    <row r="210" ht="18" customHeight="1" outlineLevel="1" spans="2:36">
      <c r="B210" s="161"/>
      <c r="C210" s="91" t="s">
        <v>190</v>
      </c>
      <c r="D210" s="92">
        <v>228000</v>
      </c>
      <c r="E210" s="92">
        <f>SUM(F210:AJ210)</f>
        <v>134190.5</v>
      </c>
      <c r="F210" s="95">
        <v>0</v>
      </c>
      <c r="G210" s="95">
        <f>+G205*G209*G208*0.75</f>
        <v>5692.5</v>
      </c>
      <c r="H210" s="96">
        <f>+H205*H209*H208*0.75</f>
        <v>7425</v>
      </c>
      <c r="I210" s="96">
        <f t="shared" ref="I210:AI210" si="122">+I205*I209*I208</f>
        <v>5280</v>
      </c>
      <c r="J210" s="95">
        <f t="shared" si="122"/>
        <v>5280</v>
      </c>
      <c r="K210" s="95">
        <f t="shared" si="122"/>
        <v>7590</v>
      </c>
      <c r="L210" s="95">
        <f t="shared" si="122"/>
        <v>7590</v>
      </c>
      <c r="M210" s="95">
        <f t="shared" si="122"/>
        <v>7590</v>
      </c>
      <c r="N210" s="95">
        <f t="shared" si="122"/>
        <v>2640</v>
      </c>
      <c r="O210" s="115">
        <f t="shared" si="122"/>
        <v>0</v>
      </c>
      <c r="P210" s="115">
        <f t="shared" si="122"/>
        <v>7590</v>
      </c>
      <c r="Q210" s="115">
        <f t="shared" si="122"/>
        <v>5280</v>
      </c>
      <c r="R210" s="95">
        <f t="shared" si="122"/>
        <v>7590</v>
      </c>
      <c r="S210" s="95">
        <f t="shared" si="122"/>
        <v>7590</v>
      </c>
      <c r="T210" s="95">
        <f t="shared" si="122"/>
        <v>0</v>
      </c>
      <c r="U210" s="95">
        <f t="shared" si="122"/>
        <v>0</v>
      </c>
      <c r="V210" s="96">
        <f t="shared" si="122"/>
        <v>0</v>
      </c>
      <c r="W210" s="96">
        <f t="shared" si="122"/>
        <v>528</v>
      </c>
      <c r="X210" s="95">
        <f>+X205*X209*X208*0.55</f>
        <v>1496</v>
      </c>
      <c r="Y210" s="95">
        <f>+Y205*Y209*Y208*0.65</f>
        <v>0</v>
      </c>
      <c r="Z210" s="95">
        <f>+Z205*Z209*Z208*0.75</f>
        <v>0</v>
      </c>
      <c r="AA210" s="95">
        <f>+AA205*AA209*AA208*0.75</f>
        <v>3060</v>
      </c>
      <c r="AB210" s="95">
        <f>+AB205*AB209*AB208*0.95</f>
        <v>7429</v>
      </c>
      <c r="AC210" s="96">
        <f t="shared" si="122"/>
        <v>7820</v>
      </c>
      <c r="AD210" s="96">
        <f t="shared" si="122"/>
        <v>5440</v>
      </c>
      <c r="AE210" s="95">
        <f t="shared" si="122"/>
        <v>7820</v>
      </c>
      <c r="AF210" s="95">
        <f t="shared" si="122"/>
        <v>7820</v>
      </c>
      <c r="AG210" s="95">
        <f t="shared" si="122"/>
        <v>7820</v>
      </c>
      <c r="AH210" s="95">
        <f t="shared" si="122"/>
        <v>7820</v>
      </c>
      <c r="AI210" s="95">
        <f t="shared" si="122"/>
        <v>0</v>
      </c>
      <c r="AJ210" s="154">
        <v>0</v>
      </c>
    </row>
    <row r="211" ht="18" customHeight="1" outlineLevel="1" spans="2:36">
      <c r="B211" s="162"/>
      <c r="C211" s="91" t="s">
        <v>191</v>
      </c>
      <c r="D211" s="92"/>
      <c r="E211" s="108">
        <f>SUM(F211:AJ211)</f>
        <v>125652</v>
      </c>
      <c r="F211" s="98"/>
      <c r="G211" s="99">
        <v>5500</v>
      </c>
      <c r="H211" s="100">
        <v>7260</v>
      </c>
      <c r="I211" s="100">
        <v>4858</v>
      </c>
      <c r="J211" s="99">
        <v>5440</v>
      </c>
      <c r="K211" s="99">
        <v>6800</v>
      </c>
      <c r="L211" s="95">
        <v>8840</v>
      </c>
      <c r="M211" s="95">
        <v>7480</v>
      </c>
      <c r="N211" s="95">
        <v>2500</v>
      </c>
      <c r="O211" s="115"/>
      <c r="P211" s="115">
        <v>7480</v>
      </c>
      <c r="Q211" s="115">
        <v>8220</v>
      </c>
      <c r="R211" s="95">
        <v>8900</v>
      </c>
      <c r="S211" s="95">
        <v>8310</v>
      </c>
      <c r="T211" s="95"/>
      <c r="U211" s="95"/>
      <c r="V211" s="96"/>
      <c r="W211" s="96">
        <v>500</v>
      </c>
      <c r="X211" s="95">
        <v>1499</v>
      </c>
      <c r="Y211" s="128"/>
      <c r="Z211" s="95"/>
      <c r="AA211" s="95">
        <v>2500</v>
      </c>
      <c r="AB211" s="95">
        <v>5950</v>
      </c>
      <c r="AC211" s="115">
        <v>7225</v>
      </c>
      <c r="AD211" s="115">
        <v>8075</v>
      </c>
      <c r="AE211" s="95">
        <v>8725</v>
      </c>
      <c r="AF211" s="139">
        <v>8230</v>
      </c>
      <c r="AG211" s="95">
        <v>1360</v>
      </c>
      <c r="AH211" s="139"/>
      <c r="AI211" s="139"/>
      <c r="AJ211" s="154"/>
    </row>
    <row r="212" ht="18" customHeight="1" outlineLevel="1" spans="2:36">
      <c r="B212" s="161"/>
      <c r="C212" s="91" t="s">
        <v>192</v>
      </c>
      <c r="D212" s="92"/>
      <c r="E212" s="92"/>
      <c r="F212" s="95">
        <v>0</v>
      </c>
      <c r="G212" s="95">
        <f>+G211-G210</f>
        <v>-192.5</v>
      </c>
      <c r="H212" s="115">
        <f t="shared" ref="H212:X212" si="123">+H211-H210</f>
        <v>-165</v>
      </c>
      <c r="I212" s="115">
        <f t="shared" si="123"/>
        <v>-422</v>
      </c>
      <c r="J212" s="95">
        <f t="shared" si="123"/>
        <v>160</v>
      </c>
      <c r="K212" s="95">
        <f t="shared" si="123"/>
        <v>-790</v>
      </c>
      <c r="L212" s="95">
        <f t="shared" si="123"/>
        <v>1250</v>
      </c>
      <c r="M212" s="95">
        <f t="shared" si="123"/>
        <v>-110</v>
      </c>
      <c r="N212" s="95">
        <v>-5090</v>
      </c>
      <c r="O212" s="115">
        <f t="shared" si="123"/>
        <v>0</v>
      </c>
      <c r="P212" s="115">
        <f t="shared" si="123"/>
        <v>-110</v>
      </c>
      <c r="Q212" s="115">
        <f t="shared" si="123"/>
        <v>2940</v>
      </c>
      <c r="R212" s="95">
        <f t="shared" si="123"/>
        <v>1310</v>
      </c>
      <c r="S212" s="95">
        <f t="shared" si="123"/>
        <v>720</v>
      </c>
      <c r="T212" s="95">
        <f t="shared" si="123"/>
        <v>0</v>
      </c>
      <c r="U212" s="95">
        <f t="shared" si="123"/>
        <v>0</v>
      </c>
      <c r="V212" s="115">
        <f t="shared" si="123"/>
        <v>0</v>
      </c>
      <c r="W212" s="115">
        <f t="shared" si="123"/>
        <v>-28</v>
      </c>
      <c r="X212" s="95">
        <f t="shared" si="123"/>
        <v>2.99999999999977</v>
      </c>
      <c r="Y212" s="128">
        <v>0</v>
      </c>
      <c r="Z212" s="128">
        <f t="shared" ref="Z212:AI212" si="124">+Z211-Z210</f>
        <v>0</v>
      </c>
      <c r="AA212" s="128">
        <f t="shared" si="124"/>
        <v>-560</v>
      </c>
      <c r="AB212" s="128">
        <f t="shared" si="124"/>
        <v>-1479</v>
      </c>
      <c r="AC212" s="187">
        <f t="shared" si="124"/>
        <v>-595</v>
      </c>
      <c r="AD212" s="187">
        <f t="shared" si="124"/>
        <v>2635</v>
      </c>
      <c r="AE212" s="128">
        <f t="shared" si="124"/>
        <v>905</v>
      </c>
      <c r="AF212" s="128">
        <f t="shared" si="124"/>
        <v>410</v>
      </c>
      <c r="AG212" s="128">
        <f t="shared" si="124"/>
        <v>-6460</v>
      </c>
      <c r="AH212" s="128">
        <f t="shared" si="124"/>
        <v>-7820</v>
      </c>
      <c r="AI212" s="128">
        <f t="shared" si="124"/>
        <v>0</v>
      </c>
      <c r="AJ212" s="154">
        <v>0</v>
      </c>
    </row>
    <row r="213" ht="18" customHeight="1" outlineLevel="1" spans="2:36">
      <c r="B213" s="161"/>
      <c r="C213" s="91" t="s">
        <v>193</v>
      </c>
      <c r="D213" s="92"/>
      <c r="E213" s="92"/>
      <c r="F213" s="95">
        <v>0</v>
      </c>
      <c r="G213" s="95">
        <f>+F213+G211</f>
        <v>5500</v>
      </c>
      <c r="H213" s="115">
        <f t="shared" ref="H213:AI213" si="125">+G213+H211</f>
        <v>12760</v>
      </c>
      <c r="I213" s="115">
        <f t="shared" si="125"/>
        <v>17618</v>
      </c>
      <c r="J213" s="95">
        <f t="shared" si="125"/>
        <v>23058</v>
      </c>
      <c r="K213" s="95">
        <f t="shared" si="125"/>
        <v>29858</v>
      </c>
      <c r="L213" s="95">
        <f t="shared" si="125"/>
        <v>38698</v>
      </c>
      <c r="M213" s="95">
        <f t="shared" si="125"/>
        <v>46178</v>
      </c>
      <c r="N213" s="95">
        <f t="shared" si="125"/>
        <v>48678</v>
      </c>
      <c r="O213" s="115">
        <f t="shared" si="125"/>
        <v>48678</v>
      </c>
      <c r="P213" s="115">
        <f t="shared" si="125"/>
        <v>56158</v>
      </c>
      <c r="Q213" s="115">
        <f t="shared" si="125"/>
        <v>64378</v>
      </c>
      <c r="R213" s="95">
        <f t="shared" si="125"/>
        <v>73278</v>
      </c>
      <c r="S213" s="95">
        <f t="shared" si="125"/>
        <v>81588</v>
      </c>
      <c r="T213" s="95">
        <f t="shared" si="125"/>
        <v>81588</v>
      </c>
      <c r="U213" s="95">
        <f t="shared" si="125"/>
        <v>81588</v>
      </c>
      <c r="V213" s="115">
        <f t="shared" si="125"/>
        <v>81588</v>
      </c>
      <c r="W213" s="115">
        <f t="shared" si="125"/>
        <v>82088</v>
      </c>
      <c r="X213" s="95">
        <f t="shared" si="125"/>
        <v>83587</v>
      </c>
      <c r="Y213" s="95">
        <f t="shared" si="125"/>
        <v>83587</v>
      </c>
      <c r="Z213" s="95">
        <f t="shared" si="125"/>
        <v>83587</v>
      </c>
      <c r="AA213" s="95">
        <f t="shared" si="125"/>
        <v>86087</v>
      </c>
      <c r="AB213" s="95">
        <f t="shared" si="125"/>
        <v>92037</v>
      </c>
      <c r="AC213" s="96">
        <f t="shared" si="125"/>
        <v>99262</v>
      </c>
      <c r="AD213" s="96">
        <f t="shared" si="125"/>
        <v>107337</v>
      </c>
      <c r="AE213" s="95">
        <f t="shared" si="125"/>
        <v>116062</v>
      </c>
      <c r="AF213" s="95">
        <f t="shared" si="125"/>
        <v>124292</v>
      </c>
      <c r="AG213" s="95">
        <f t="shared" si="125"/>
        <v>125652</v>
      </c>
      <c r="AH213" s="95">
        <f t="shared" si="125"/>
        <v>125652</v>
      </c>
      <c r="AI213" s="95">
        <f t="shared" si="125"/>
        <v>125652</v>
      </c>
      <c r="AJ213" s="154">
        <v>23058</v>
      </c>
    </row>
    <row r="214" ht="18" customHeight="1" spans="2:36">
      <c r="B214" s="164"/>
      <c r="C214" s="102" t="s">
        <v>194</v>
      </c>
      <c r="D214" s="103"/>
      <c r="E214" s="103"/>
      <c r="F214" s="104"/>
      <c r="G214" s="104">
        <f>+G211/G210</f>
        <v>0.966183574879227</v>
      </c>
      <c r="H214" s="116">
        <f t="shared" ref="H214:AB214" si="126">+H211/H210</f>
        <v>0.977777777777778</v>
      </c>
      <c r="I214" s="116">
        <f t="shared" si="126"/>
        <v>0.920075757575758</v>
      </c>
      <c r="J214" s="104">
        <f t="shared" si="126"/>
        <v>1.03030303030303</v>
      </c>
      <c r="K214" s="104">
        <f t="shared" si="126"/>
        <v>0.895915678524374</v>
      </c>
      <c r="L214" s="104">
        <f t="shared" si="126"/>
        <v>1.16469038208169</v>
      </c>
      <c r="M214" s="104">
        <f t="shared" si="126"/>
        <v>0.985507246376812</v>
      </c>
      <c r="N214" s="104">
        <f t="shared" si="126"/>
        <v>0.946969696969697</v>
      </c>
      <c r="O214" s="116" t="e">
        <f t="shared" si="126"/>
        <v>#DIV/0!</v>
      </c>
      <c r="P214" s="116">
        <f t="shared" si="126"/>
        <v>0.985507246376812</v>
      </c>
      <c r="Q214" s="116">
        <f t="shared" si="126"/>
        <v>1.55681818181818</v>
      </c>
      <c r="R214" s="104">
        <f t="shared" si="126"/>
        <v>1.17259552042161</v>
      </c>
      <c r="S214" s="104">
        <f t="shared" si="126"/>
        <v>1.09486166007905</v>
      </c>
      <c r="T214" s="104" t="e">
        <f t="shared" si="126"/>
        <v>#DIV/0!</v>
      </c>
      <c r="U214" s="104" t="e">
        <f t="shared" si="126"/>
        <v>#DIV/0!</v>
      </c>
      <c r="V214" s="116" t="e">
        <f t="shared" si="126"/>
        <v>#DIV/0!</v>
      </c>
      <c r="W214" s="116">
        <f t="shared" si="126"/>
        <v>0.946969696969697</v>
      </c>
      <c r="X214" s="104">
        <f t="shared" si="126"/>
        <v>1.00200534759358</v>
      </c>
      <c r="Y214" s="142" t="str">
        <f t="shared" ref="Y214:AA214" si="127">IF(Y211&gt;0,Y211/Y210,"")</f>
        <v/>
      </c>
      <c r="Z214" s="142" t="str">
        <f t="shared" si="127"/>
        <v/>
      </c>
      <c r="AA214" s="142">
        <f t="shared" si="127"/>
        <v>0.816993464052288</v>
      </c>
      <c r="AB214" s="104">
        <f t="shared" si="126"/>
        <v>0.80091533180778</v>
      </c>
      <c r="AC214" s="177">
        <f t="shared" ref="AC214:AI214" si="128">IF(AC211&gt;0,AC211/AC210,"")</f>
        <v>0.923913043478261</v>
      </c>
      <c r="AD214" s="177">
        <f t="shared" si="128"/>
        <v>1.484375</v>
      </c>
      <c r="AE214" s="142">
        <f t="shared" si="128"/>
        <v>1.11572890025575</v>
      </c>
      <c r="AF214" s="142">
        <f t="shared" si="128"/>
        <v>1.05242966751918</v>
      </c>
      <c r="AG214" s="142">
        <f t="shared" si="128"/>
        <v>0.173913043478261</v>
      </c>
      <c r="AH214" s="142" t="str">
        <f t="shared" si="128"/>
        <v/>
      </c>
      <c r="AI214" s="142" t="str">
        <f t="shared" si="128"/>
        <v/>
      </c>
      <c r="AJ214" s="156"/>
    </row>
    <row r="215" ht="18" customHeight="1" outlineLevel="1" spans="2:36">
      <c r="B215" s="160" t="s">
        <v>148</v>
      </c>
      <c r="C215" s="86" t="s">
        <v>185</v>
      </c>
      <c r="D215" s="87"/>
      <c r="E215" s="87"/>
      <c r="F215" s="88">
        <v>3</v>
      </c>
      <c r="G215" s="88"/>
      <c r="H215" s="89"/>
      <c r="I215" s="89"/>
      <c r="J215" s="88"/>
      <c r="K215" s="88"/>
      <c r="L215" s="88"/>
      <c r="M215" s="88"/>
      <c r="N215" s="88"/>
      <c r="O215" s="113"/>
      <c r="P215" s="113"/>
      <c r="Q215" s="113"/>
      <c r="R215" s="88"/>
      <c r="S215" s="88"/>
      <c r="T215" s="88">
        <v>0.5</v>
      </c>
      <c r="U215" s="88">
        <v>0.1</v>
      </c>
      <c r="V215" s="113">
        <v>0.3</v>
      </c>
      <c r="W215" s="181"/>
      <c r="X215" s="88"/>
      <c r="Y215" s="88"/>
      <c r="Z215" s="88"/>
      <c r="AA215" s="88"/>
      <c r="AB215" s="127"/>
      <c r="AC215" s="89"/>
      <c r="AD215" s="89"/>
      <c r="AE215" s="88"/>
      <c r="AF215" s="185">
        <v>1</v>
      </c>
      <c r="AG215" s="88"/>
      <c r="AH215" s="88"/>
      <c r="AI215" s="157"/>
      <c r="AJ215" s="158"/>
    </row>
    <row r="216" ht="18" customHeight="1" outlineLevel="1" spans="2:36">
      <c r="B216" s="161"/>
      <c r="C216" s="91" t="s">
        <v>186</v>
      </c>
      <c r="D216" s="92"/>
      <c r="E216" s="92"/>
      <c r="F216" s="93">
        <v>35</v>
      </c>
      <c r="G216" s="93">
        <v>35</v>
      </c>
      <c r="H216" s="94">
        <v>35</v>
      </c>
      <c r="I216" s="94">
        <v>35</v>
      </c>
      <c r="J216" s="93">
        <v>35</v>
      </c>
      <c r="K216" s="93">
        <v>35</v>
      </c>
      <c r="L216" s="93">
        <v>35</v>
      </c>
      <c r="M216" s="93">
        <v>35</v>
      </c>
      <c r="N216" s="93">
        <v>35</v>
      </c>
      <c r="O216" s="114">
        <v>35</v>
      </c>
      <c r="P216" s="114">
        <v>35</v>
      </c>
      <c r="Q216" s="114">
        <v>35</v>
      </c>
      <c r="R216" s="93">
        <v>35</v>
      </c>
      <c r="S216" s="93">
        <v>35</v>
      </c>
      <c r="T216" s="93">
        <v>35</v>
      </c>
      <c r="U216" s="93">
        <v>35</v>
      </c>
      <c r="V216" s="94">
        <v>35</v>
      </c>
      <c r="W216" s="94">
        <v>35</v>
      </c>
      <c r="X216" s="93">
        <v>35</v>
      </c>
      <c r="Y216" s="93">
        <v>35</v>
      </c>
      <c r="Z216" s="93">
        <v>35</v>
      </c>
      <c r="AA216" s="93">
        <v>35</v>
      </c>
      <c r="AB216" s="93">
        <v>35</v>
      </c>
      <c r="AC216" s="94">
        <v>35</v>
      </c>
      <c r="AD216" s="94">
        <v>35</v>
      </c>
      <c r="AE216" s="93">
        <v>35</v>
      </c>
      <c r="AF216" s="93">
        <v>35</v>
      </c>
      <c r="AG216" s="93">
        <v>35</v>
      </c>
      <c r="AH216" s="93">
        <v>35</v>
      </c>
      <c r="AI216" s="93">
        <v>35</v>
      </c>
      <c r="AJ216" s="94">
        <v>35</v>
      </c>
    </row>
    <row r="217" ht="18" customHeight="1" outlineLevel="1" spans="2:36">
      <c r="B217" s="161"/>
      <c r="C217" s="91" t="s">
        <v>187</v>
      </c>
      <c r="D217" s="92"/>
      <c r="E217" s="92"/>
      <c r="F217" s="93">
        <v>105</v>
      </c>
      <c r="G217" s="93">
        <v>0</v>
      </c>
      <c r="H217" s="94">
        <v>0</v>
      </c>
      <c r="I217" s="94">
        <v>0</v>
      </c>
      <c r="J217" s="93">
        <v>0</v>
      </c>
      <c r="K217" s="93">
        <v>0</v>
      </c>
      <c r="L217" s="93">
        <v>0</v>
      </c>
      <c r="M217" s="93">
        <v>0</v>
      </c>
      <c r="N217" s="93">
        <v>0</v>
      </c>
      <c r="O217" s="114">
        <v>0</v>
      </c>
      <c r="P217" s="114">
        <v>0</v>
      </c>
      <c r="Q217" s="114">
        <v>0</v>
      </c>
      <c r="R217" s="93">
        <v>0</v>
      </c>
      <c r="S217" s="93">
        <v>0</v>
      </c>
      <c r="T217" s="93">
        <f>+T215*T216</f>
        <v>17.5</v>
      </c>
      <c r="U217" s="93">
        <f>+U215*U216</f>
        <v>3.5</v>
      </c>
      <c r="V217" s="94">
        <f>+V215*V216</f>
        <v>10.5</v>
      </c>
      <c r="W217" s="94">
        <f>+W215*W216</f>
        <v>0</v>
      </c>
      <c r="X217" s="93">
        <f>+X215*X216</f>
        <v>0</v>
      </c>
      <c r="Y217" s="93">
        <v>0</v>
      </c>
      <c r="Z217" s="93">
        <v>0</v>
      </c>
      <c r="AA217" s="93">
        <v>0</v>
      </c>
      <c r="AB217" s="93">
        <v>0</v>
      </c>
      <c r="AC217" s="94">
        <v>0</v>
      </c>
      <c r="AD217" s="94">
        <v>0</v>
      </c>
      <c r="AE217" s="93">
        <v>0</v>
      </c>
      <c r="AF217" s="93">
        <f>AF215*AF216</f>
        <v>35</v>
      </c>
      <c r="AG217" s="93">
        <v>0</v>
      </c>
      <c r="AH217" s="93">
        <v>0</v>
      </c>
      <c r="AI217" s="139">
        <v>0</v>
      </c>
      <c r="AJ217" s="154">
        <v>0</v>
      </c>
    </row>
    <row r="218" ht="18" customHeight="1" outlineLevel="1" spans="2:36">
      <c r="B218" s="161"/>
      <c r="C218" s="91" t="s">
        <v>188</v>
      </c>
      <c r="D218" s="92"/>
      <c r="E218" s="92"/>
      <c r="F218" s="93">
        <v>10.5</v>
      </c>
      <c r="G218" s="93">
        <v>11.5</v>
      </c>
      <c r="H218" s="94">
        <v>11.5</v>
      </c>
      <c r="I218" s="94"/>
      <c r="J218" s="93"/>
      <c r="K218" s="93"/>
      <c r="L218" s="93">
        <v>8</v>
      </c>
      <c r="M218" s="93">
        <v>11.5</v>
      </c>
      <c r="N218" s="93"/>
      <c r="O218" s="114"/>
      <c r="P218" s="114"/>
      <c r="Q218" s="114"/>
      <c r="R218" s="93"/>
      <c r="S218" s="93"/>
      <c r="T218" s="93">
        <v>8</v>
      </c>
      <c r="U218" s="93">
        <v>8</v>
      </c>
      <c r="V218" s="94">
        <v>8</v>
      </c>
      <c r="W218" s="96"/>
      <c r="X218" s="93"/>
      <c r="Y218" s="93"/>
      <c r="Z218" s="93"/>
      <c r="AA218" s="93"/>
      <c r="AB218" s="93"/>
      <c r="AC218" s="94"/>
      <c r="AD218" s="94"/>
      <c r="AE218" s="93"/>
      <c r="AF218" s="93">
        <v>12</v>
      </c>
      <c r="AG218" s="93"/>
      <c r="AH218" s="93"/>
      <c r="AI218" s="139"/>
      <c r="AJ218" s="154"/>
    </row>
    <row r="219" ht="18" customHeight="1" outlineLevel="1" spans="2:36">
      <c r="B219" s="161"/>
      <c r="C219" s="91" t="s">
        <v>189</v>
      </c>
      <c r="D219" s="92"/>
      <c r="E219" s="92"/>
      <c r="F219" s="93">
        <v>700</v>
      </c>
      <c r="G219" s="93">
        <v>700</v>
      </c>
      <c r="H219" s="94">
        <v>700</v>
      </c>
      <c r="I219" s="94">
        <v>700</v>
      </c>
      <c r="J219" s="93">
        <v>700</v>
      </c>
      <c r="K219" s="93">
        <v>700</v>
      </c>
      <c r="L219" s="93">
        <v>700</v>
      </c>
      <c r="M219" s="93">
        <v>700</v>
      </c>
      <c r="N219" s="93">
        <v>700</v>
      </c>
      <c r="O219" s="114">
        <v>700</v>
      </c>
      <c r="P219" s="114">
        <v>700</v>
      </c>
      <c r="Q219" s="114">
        <v>700</v>
      </c>
      <c r="R219" s="93">
        <v>700</v>
      </c>
      <c r="S219" s="93">
        <v>700</v>
      </c>
      <c r="T219" s="93">
        <v>700</v>
      </c>
      <c r="U219" s="93">
        <v>660</v>
      </c>
      <c r="V219" s="94">
        <v>660</v>
      </c>
      <c r="W219" s="96">
        <v>700</v>
      </c>
      <c r="X219" s="93">
        <v>700</v>
      </c>
      <c r="Y219" s="93">
        <v>700</v>
      </c>
      <c r="Z219" s="93">
        <v>700</v>
      </c>
      <c r="AA219" s="93">
        <v>700</v>
      </c>
      <c r="AB219" s="93">
        <v>660</v>
      </c>
      <c r="AC219" s="94">
        <v>660</v>
      </c>
      <c r="AD219" s="94">
        <v>700</v>
      </c>
      <c r="AE219" s="93">
        <v>700</v>
      </c>
      <c r="AF219" s="93">
        <v>700</v>
      </c>
      <c r="AG219" s="93">
        <v>700</v>
      </c>
      <c r="AH219" s="93">
        <v>700</v>
      </c>
      <c r="AI219" s="139">
        <v>700</v>
      </c>
      <c r="AJ219" s="154">
        <v>700</v>
      </c>
    </row>
    <row r="220" ht="18" customHeight="1" outlineLevel="1" spans="2:36">
      <c r="B220" s="161"/>
      <c r="C220" s="91" t="s">
        <v>190</v>
      </c>
      <c r="D220" s="92">
        <v>33000</v>
      </c>
      <c r="E220" s="92">
        <f>SUM(F220:AJ220)</f>
        <v>27644.5</v>
      </c>
      <c r="F220" s="95">
        <v>14332.5</v>
      </c>
      <c r="G220" s="95">
        <v>0</v>
      </c>
      <c r="H220" s="96">
        <v>0</v>
      </c>
      <c r="I220" s="96">
        <v>0</v>
      </c>
      <c r="J220" s="95">
        <v>0</v>
      </c>
      <c r="K220" s="95">
        <v>0</v>
      </c>
      <c r="L220" s="95">
        <v>0</v>
      </c>
      <c r="M220" s="95">
        <v>0</v>
      </c>
      <c r="N220" s="95">
        <v>0</v>
      </c>
      <c r="O220" s="115">
        <v>0</v>
      </c>
      <c r="P220" s="115">
        <v>0</v>
      </c>
      <c r="Q220" s="115">
        <v>0</v>
      </c>
      <c r="R220" s="95">
        <v>0</v>
      </c>
      <c r="S220" s="95">
        <v>0</v>
      </c>
      <c r="T220" s="95">
        <f>+T215*T218*T219</f>
        <v>2800</v>
      </c>
      <c r="U220" s="95">
        <f>+U215*U218*U219</f>
        <v>528</v>
      </c>
      <c r="V220" s="96">
        <f>+V215*V218*V219</f>
        <v>1584</v>
      </c>
      <c r="W220" s="96">
        <f>+W215*W218*W219</f>
        <v>0</v>
      </c>
      <c r="X220" s="128">
        <v>0</v>
      </c>
      <c r="Y220" s="128">
        <v>0</v>
      </c>
      <c r="Z220" s="128">
        <v>0</v>
      </c>
      <c r="AA220" s="128">
        <v>0</v>
      </c>
      <c r="AB220" s="128">
        <v>0</v>
      </c>
      <c r="AC220" s="96">
        <v>0</v>
      </c>
      <c r="AD220" s="96">
        <v>0</v>
      </c>
      <c r="AE220" s="95">
        <v>0</v>
      </c>
      <c r="AF220" s="95">
        <f>+AF215*AF219*AF218</f>
        <v>8400</v>
      </c>
      <c r="AG220" s="95">
        <v>0</v>
      </c>
      <c r="AH220" s="139">
        <v>0</v>
      </c>
      <c r="AI220" s="139">
        <v>0</v>
      </c>
      <c r="AJ220" s="154">
        <v>0</v>
      </c>
    </row>
    <row r="221" ht="18" customHeight="1" outlineLevel="1" spans="2:36">
      <c r="B221" s="162"/>
      <c r="C221" s="91" t="s">
        <v>191</v>
      </c>
      <c r="D221" s="92"/>
      <c r="E221" s="108">
        <f>SUM(F221:AJ221)</f>
        <v>23342</v>
      </c>
      <c r="F221" s="99">
        <v>13600</v>
      </c>
      <c r="G221" s="99"/>
      <c r="H221" s="100"/>
      <c r="I221" s="100"/>
      <c r="J221" s="99"/>
      <c r="K221" s="99"/>
      <c r="L221" s="95"/>
      <c r="M221" s="95"/>
      <c r="N221" s="95"/>
      <c r="O221" s="96"/>
      <c r="P221" s="96"/>
      <c r="Q221" s="96"/>
      <c r="R221" s="95"/>
      <c r="S221" s="95"/>
      <c r="T221" s="95">
        <v>3050</v>
      </c>
      <c r="U221" s="95">
        <v>400</v>
      </c>
      <c r="V221" s="96">
        <v>1800</v>
      </c>
      <c r="W221" s="96"/>
      <c r="X221" s="95"/>
      <c r="Y221" s="128"/>
      <c r="Z221" s="95"/>
      <c r="AA221" s="95"/>
      <c r="AB221" s="95"/>
      <c r="AC221" s="96"/>
      <c r="AD221" s="96"/>
      <c r="AE221" s="95"/>
      <c r="AF221" s="139">
        <v>1892</v>
      </c>
      <c r="AG221" s="95">
        <v>2600</v>
      </c>
      <c r="AH221" s="139"/>
      <c r="AI221" s="139"/>
      <c r="AJ221" s="154"/>
    </row>
    <row r="222" ht="18" customHeight="1" outlineLevel="1" spans="2:36">
      <c r="B222" s="161"/>
      <c r="C222" s="91" t="s">
        <v>192</v>
      </c>
      <c r="D222" s="92"/>
      <c r="E222" s="92"/>
      <c r="F222" s="95">
        <v>-732.5</v>
      </c>
      <c r="G222" s="95">
        <v>0</v>
      </c>
      <c r="H222" s="96">
        <v>0</v>
      </c>
      <c r="I222" s="96">
        <v>0</v>
      </c>
      <c r="J222" s="95">
        <v>0</v>
      </c>
      <c r="K222" s="95">
        <v>0</v>
      </c>
      <c r="L222" s="95">
        <v>0</v>
      </c>
      <c r="M222" s="95">
        <v>0</v>
      </c>
      <c r="N222" s="95">
        <v>0</v>
      </c>
      <c r="O222" s="96">
        <v>0</v>
      </c>
      <c r="P222" s="96">
        <v>0</v>
      </c>
      <c r="Q222" s="96">
        <v>0</v>
      </c>
      <c r="R222" s="95">
        <v>0</v>
      </c>
      <c r="S222" s="95">
        <v>0</v>
      </c>
      <c r="T222" s="182">
        <f t="shared" ref="T222:W222" si="129">+T221/T220</f>
        <v>1.08928571428571</v>
      </c>
      <c r="U222" s="182">
        <f t="shared" si="129"/>
        <v>0.757575757575758</v>
      </c>
      <c r="V222" s="183">
        <f t="shared" si="129"/>
        <v>1.13636363636364</v>
      </c>
      <c r="W222" s="183" t="e">
        <f t="shared" si="129"/>
        <v>#DIV/0!</v>
      </c>
      <c r="X222" s="142"/>
      <c r="Y222" s="142"/>
      <c r="Z222" s="142"/>
      <c r="AA222" s="142"/>
      <c r="AB222" s="142"/>
      <c r="AC222" s="96">
        <v>0</v>
      </c>
      <c r="AD222" s="96">
        <v>0</v>
      </c>
      <c r="AE222" s="95">
        <v>0</v>
      </c>
      <c r="AF222" s="139">
        <v>0</v>
      </c>
      <c r="AG222" s="95">
        <v>0</v>
      </c>
      <c r="AH222" s="139">
        <v>0</v>
      </c>
      <c r="AI222" s="139">
        <v>0</v>
      </c>
      <c r="AJ222" s="154">
        <v>0</v>
      </c>
    </row>
    <row r="223" ht="18" customHeight="1" outlineLevel="1" spans="2:36">
      <c r="B223" s="161"/>
      <c r="C223" s="91" t="s">
        <v>193</v>
      </c>
      <c r="D223" s="92"/>
      <c r="E223" s="92"/>
      <c r="F223" s="95">
        <f>+E223+F221</f>
        <v>13600</v>
      </c>
      <c r="G223" s="95">
        <f t="shared" ref="G223:AI223" si="130">+F223+G221</f>
        <v>13600</v>
      </c>
      <c r="H223" s="96">
        <f t="shared" si="130"/>
        <v>13600</v>
      </c>
      <c r="I223" s="96">
        <f t="shared" si="130"/>
        <v>13600</v>
      </c>
      <c r="J223" s="95">
        <f t="shared" si="130"/>
        <v>13600</v>
      </c>
      <c r="K223" s="95">
        <f t="shared" si="130"/>
        <v>13600</v>
      </c>
      <c r="L223" s="95">
        <f t="shared" si="130"/>
        <v>13600</v>
      </c>
      <c r="M223" s="95">
        <f t="shared" si="130"/>
        <v>13600</v>
      </c>
      <c r="N223" s="95">
        <f t="shared" si="130"/>
        <v>13600</v>
      </c>
      <c r="O223" s="96">
        <f t="shared" si="130"/>
        <v>13600</v>
      </c>
      <c r="P223" s="96">
        <f t="shared" si="130"/>
        <v>13600</v>
      </c>
      <c r="Q223" s="96">
        <f t="shared" si="130"/>
        <v>13600</v>
      </c>
      <c r="R223" s="95">
        <f t="shared" si="130"/>
        <v>13600</v>
      </c>
      <c r="S223" s="95">
        <f t="shared" si="130"/>
        <v>13600</v>
      </c>
      <c r="T223" s="95">
        <f t="shared" si="130"/>
        <v>16650</v>
      </c>
      <c r="U223" s="95">
        <f t="shared" si="130"/>
        <v>17050</v>
      </c>
      <c r="V223" s="96">
        <f t="shared" si="130"/>
        <v>18850</v>
      </c>
      <c r="W223" s="96">
        <f t="shared" si="130"/>
        <v>18850</v>
      </c>
      <c r="X223" s="95">
        <f t="shared" si="130"/>
        <v>18850</v>
      </c>
      <c r="Y223" s="95">
        <f t="shared" si="130"/>
        <v>18850</v>
      </c>
      <c r="Z223" s="95">
        <f t="shared" si="130"/>
        <v>18850</v>
      </c>
      <c r="AA223" s="95">
        <f t="shared" si="130"/>
        <v>18850</v>
      </c>
      <c r="AB223" s="95">
        <f t="shared" si="130"/>
        <v>18850</v>
      </c>
      <c r="AC223" s="96">
        <f t="shared" si="130"/>
        <v>18850</v>
      </c>
      <c r="AD223" s="96">
        <f t="shared" si="130"/>
        <v>18850</v>
      </c>
      <c r="AE223" s="95">
        <f t="shared" si="130"/>
        <v>18850</v>
      </c>
      <c r="AF223" s="95">
        <f t="shared" si="130"/>
        <v>20742</v>
      </c>
      <c r="AG223" s="95">
        <f t="shared" si="130"/>
        <v>23342</v>
      </c>
      <c r="AH223" s="95">
        <f t="shared" si="130"/>
        <v>23342</v>
      </c>
      <c r="AI223" s="95">
        <f t="shared" si="130"/>
        <v>23342</v>
      </c>
      <c r="AJ223" s="154">
        <v>13600</v>
      </c>
    </row>
    <row r="224" ht="17.25" spans="2:36">
      <c r="B224" s="164"/>
      <c r="C224" s="102" t="s">
        <v>194</v>
      </c>
      <c r="D224" s="103"/>
      <c r="E224" s="103"/>
      <c r="F224" s="104">
        <v>0.948892377463806</v>
      </c>
      <c r="G224" s="104"/>
      <c r="H224" s="105"/>
      <c r="I224" s="105"/>
      <c r="J224" s="104"/>
      <c r="K224" s="104"/>
      <c r="L224" s="104"/>
      <c r="M224" s="104"/>
      <c r="N224" s="104"/>
      <c r="O224" s="105"/>
      <c r="P224" s="105"/>
      <c r="Q224" s="105"/>
      <c r="R224" s="104"/>
      <c r="S224" s="104"/>
      <c r="T224" s="104"/>
      <c r="U224" s="184" t="s">
        <v>204</v>
      </c>
      <c r="V224" s="105"/>
      <c r="W224" s="105"/>
      <c r="X224" s="104" t="str">
        <f t="shared" ref="X224:AB224" si="131">IF(X221&gt;0,X221/X220,"")</f>
        <v/>
      </c>
      <c r="Y224" s="104" t="str">
        <f t="shared" si="131"/>
        <v/>
      </c>
      <c r="Z224" s="104" t="str">
        <f t="shared" si="131"/>
        <v/>
      </c>
      <c r="AA224" s="104" t="str">
        <f t="shared" si="131"/>
        <v/>
      </c>
      <c r="AB224" s="104" t="str">
        <f t="shared" si="131"/>
        <v/>
      </c>
      <c r="AC224" s="105"/>
      <c r="AD224" s="105"/>
      <c r="AE224" s="104"/>
      <c r="AF224" s="141"/>
      <c r="AG224" s="104"/>
      <c r="AH224" s="155"/>
      <c r="AI224" s="155"/>
      <c r="AJ224" s="156"/>
    </row>
    <row r="225" ht="18" customHeight="1" outlineLevel="1" spans="2:36">
      <c r="B225" s="160" t="s">
        <v>205</v>
      </c>
      <c r="C225" s="86" t="s">
        <v>185</v>
      </c>
      <c r="D225" s="87"/>
      <c r="E225" s="87"/>
      <c r="F225" s="88"/>
      <c r="G225" s="88"/>
      <c r="H225" s="89"/>
      <c r="I225" s="89"/>
      <c r="J225" s="88"/>
      <c r="K225" s="88"/>
      <c r="L225" s="88"/>
      <c r="M225" s="88"/>
      <c r="N225" s="88"/>
      <c r="O225" s="113"/>
      <c r="P225" s="113">
        <v>1</v>
      </c>
      <c r="Q225" s="113"/>
      <c r="R225" s="88"/>
      <c r="S225" s="88"/>
      <c r="T225" s="88"/>
      <c r="U225" s="88"/>
      <c r="V225" s="89"/>
      <c r="W225" s="122"/>
      <c r="X225" s="88"/>
      <c r="Y225" s="88"/>
      <c r="Z225" s="88"/>
      <c r="AA225" s="88"/>
      <c r="AB225" s="127"/>
      <c r="AC225" s="89"/>
      <c r="AD225" s="89"/>
      <c r="AE225" s="88"/>
      <c r="AF225" s="88"/>
      <c r="AG225" s="88"/>
      <c r="AH225" s="88"/>
      <c r="AI225" s="157"/>
      <c r="AJ225" s="158"/>
    </row>
    <row r="226" ht="18" customHeight="1" outlineLevel="1" spans="2:36">
      <c r="B226" s="161"/>
      <c r="C226" s="91" t="s">
        <v>186</v>
      </c>
      <c r="D226" s="92"/>
      <c r="E226" s="92"/>
      <c r="F226" s="93">
        <v>35</v>
      </c>
      <c r="G226" s="93">
        <v>35</v>
      </c>
      <c r="H226" s="94">
        <v>35</v>
      </c>
      <c r="I226" s="94">
        <v>35</v>
      </c>
      <c r="J226" s="93">
        <v>35</v>
      </c>
      <c r="K226" s="93">
        <v>35</v>
      </c>
      <c r="L226" s="93">
        <v>35</v>
      </c>
      <c r="M226" s="93">
        <v>35</v>
      </c>
      <c r="N226" s="93">
        <v>35</v>
      </c>
      <c r="O226" s="114">
        <v>35</v>
      </c>
      <c r="P226" s="114">
        <v>35</v>
      </c>
      <c r="Q226" s="114">
        <v>35</v>
      </c>
      <c r="R226" s="93">
        <v>35</v>
      </c>
      <c r="S226" s="93">
        <v>35</v>
      </c>
      <c r="T226" s="93">
        <v>35</v>
      </c>
      <c r="U226" s="93">
        <v>35</v>
      </c>
      <c r="V226" s="94">
        <v>35</v>
      </c>
      <c r="W226" s="94">
        <v>35</v>
      </c>
      <c r="X226" s="93">
        <v>35</v>
      </c>
      <c r="Y226" s="93">
        <v>35</v>
      </c>
      <c r="Z226" s="93">
        <v>35</v>
      </c>
      <c r="AA226" s="93">
        <v>35</v>
      </c>
      <c r="AB226" s="93">
        <v>35</v>
      </c>
      <c r="AC226" s="94">
        <v>35</v>
      </c>
      <c r="AD226" s="94">
        <v>35</v>
      </c>
      <c r="AE226" s="93">
        <v>35</v>
      </c>
      <c r="AF226" s="93">
        <v>35</v>
      </c>
      <c r="AG226" s="93">
        <v>35</v>
      </c>
      <c r="AH226" s="93">
        <v>35</v>
      </c>
      <c r="AI226" s="93">
        <v>35</v>
      </c>
      <c r="AJ226" s="94">
        <v>35</v>
      </c>
    </row>
    <row r="227" ht="18" customHeight="1" outlineLevel="1" spans="2:36">
      <c r="B227" s="161"/>
      <c r="C227" s="91" t="s">
        <v>187</v>
      </c>
      <c r="D227" s="92"/>
      <c r="E227" s="92"/>
      <c r="F227" s="93">
        <f t="shared" ref="F227:AJ227" si="132">F225*F226</f>
        <v>0</v>
      </c>
      <c r="G227" s="93">
        <f t="shared" si="132"/>
        <v>0</v>
      </c>
      <c r="H227" s="94">
        <f t="shared" si="132"/>
        <v>0</v>
      </c>
      <c r="I227" s="94">
        <f t="shared" si="132"/>
        <v>0</v>
      </c>
      <c r="J227" s="93">
        <f t="shared" si="132"/>
        <v>0</v>
      </c>
      <c r="K227" s="93">
        <f t="shared" si="132"/>
        <v>0</v>
      </c>
      <c r="L227" s="93">
        <f t="shared" si="132"/>
        <v>0</v>
      </c>
      <c r="M227" s="93">
        <f t="shared" si="132"/>
        <v>0</v>
      </c>
      <c r="N227" s="93">
        <v>0</v>
      </c>
      <c r="O227" s="114">
        <f t="shared" si="132"/>
        <v>0</v>
      </c>
      <c r="P227" s="114">
        <f t="shared" si="132"/>
        <v>35</v>
      </c>
      <c r="Q227" s="114">
        <f t="shared" si="132"/>
        <v>0</v>
      </c>
      <c r="R227" s="93">
        <f t="shared" si="132"/>
        <v>0</v>
      </c>
      <c r="S227" s="93">
        <f t="shared" si="132"/>
        <v>0</v>
      </c>
      <c r="T227" s="93">
        <f t="shared" si="132"/>
        <v>0</v>
      </c>
      <c r="U227" s="93">
        <f t="shared" si="132"/>
        <v>0</v>
      </c>
      <c r="V227" s="94">
        <f t="shared" si="132"/>
        <v>0</v>
      </c>
      <c r="W227" s="96">
        <f t="shared" si="132"/>
        <v>0</v>
      </c>
      <c r="X227" s="93">
        <f t="shared" si="132"/>
        <v>0</v>
      </c>
      <c r="Y227" s="93">
        <f t="shared" si="132"/>
        <v>0</v>
      </c>
      <c r="Z227" s="93">
        <f t="shared" si="132"/>
        <v>0</v>
      </c>
      <c r="AA227" s="93">
        <f t="shared" si="132"/>
        <v>0</v>
      </c>
      <c r="AB227" s="93">
        <f t="shared" si="132"/>
        <v>0</v>
      </c>
      <c r="AC227" s="94">
        <f t="shared" si="132"/>
        <v>0</v>
      </c>
      <c r="AD227" s="94">
        <f t="shared" si="132"/>
        <v>0</v>
      </c>
      <c r="AE227" s="93">
        <f t="shared" si="132"/>
        <v>0</v>
      </c>
      <c r="AF227" s="93">
        <f t="shared" si="132"/>
        <v>0</v>
      </c>
      <c r="AG227" s="93">
        <f t="shared" si="132"/>
        <v>0</v>
      </c>
      <c r="AH227" s="93">
        <f t="shared" si="132"/>
        <v>0</v>
      </c>
      <c r="AI227" s="139">
        <f t="shared" si="132"/>
        <v>0</v>
      </c>
      <c r="AJ227" s="154">
        <f t="shared" si="132"/>
        <v>0</v>
      </c>
    </row>
    <row r="228" ht="18" customHeight="1" outlineLevel="1" spans="2:36">
      <c r="B228" s="161"/>
      <c r="C228" s="91" t="s">
        <v>188</v>
      </c>
      <c r="D228" s="92"/>
      <c r="E228" s="92"/>
      <c r="F228" s="93">
        <v>8</v>
      </c>
      <c r="G228" s="93"/>
      <c r="H228" s="94"/>
      <c r="I228" s="94"/>
      <c r="J228" s="93">
        <v>8</v>
      </c>
      <c r="K228" s="93">
        <v>11.5</v>
      </c>
      <c r="L228" s="93"/>
      <c r="M228" s="93"/>
      <c r="N228" s="93"/>
      <c r="O228" s="114"/>
      <c r="P228" s="114">
        <v>8</v>
      </c>
      <c r="Q228" s="114"/>
      <c r="R228" s="93"/>
      <c r="S228" s="93"/>
      <c r="T228" s="93"/>
      <c r="U228" s="93"/>
      <c r="V228" s="94">
        <v>8</v>
      </c>
      <c r="W228" s="96">
        <v>8</v>
      </c>
      <c r="X228" s="93">
        <v>11.5</v>
      </c>
      <c r="Y228" s="93">
        <v>11.5</v>
      </c>
      <c r="Z228" s="93">
        <v>11.5</v>
      </c>
      <c r="AA228" s="93">
        <v>11.5</v>
      </c>
      <c r="AB228" s="93">
        <v>11.5</v>
      </c>
      <c r="AC228" s="94">
        <v>11.5</v>
      </c>
      <c r="AD228" s="94">
        <v>8</v>
      </c>
      <c r="AE228" s="93">
        <v>11.5</v>
      </c>
      <c r="AF228" s="93">
        <v>11.5</v>
      </c>
      <c r="AG228" s="93">
        <v>11.5</v>
      </c>
      <c r="AH228" s="93">
        <v>11.5</v>
      </c>
      <c r="AI228" s="139">
        <v>11.5</v>
      </c>
      <c r="AJ228" s="154"/>
    </row>
    <row r="229" ht="18" customHeight="1" outlineLevel="1" spans="2:36">
      <c r="B229" s="161"/>
      <c r="C229" s="91" t="s">
        <v>189</v>
      </c>
      <c r="D229" s="92"/>
      <c r="E229" s="92"/>
      <c r="F229" s="93">
        <v>700</v>
      </c>
      <c r="G229" s="93">
        <v>700</v>
      </c>
      <c r="H229" s="94">
        <v>700</v>
      </c>
      <c r="I229" s="94">
        <v>700</v>
      </c>
      <c r="J229" s="93">
        <v>700</v>
      </c>
      <c r="K229" s="93">
        <v>700</v>
      </c>
      <c r="L229" s="93">
        <v>700</v>
      </c>
      <c r="M229" s="93">
        <v>700</v>
      </c>
      <c r="N229" s="93">
        <v>700</v>
      </c>
      <c r="O229" s="114">
        <v>700</v>
      </c>
      <c r="P229" s="114">
        <v>700</v>
      </c>
      <c r="Q229" s="114">
        <v>700</v>
      </c>
      <c r="R229" s="93">
        <v>700</v>
      </c>
      <c r="S229" s="93">
        <v>700</v>
      </c>
      <c r="T229" s="93">
        <v>700</v>
      </c>
      <c r="U229" s="93">
        <v>660</v>
      </c>
      <c r="V229" s="94">
        <v>660</v>
      </c>
      <c r="W229" s="96">
        <v>700</v>
      </c>
      <c r="X229" s="93">
        <v>700</v>
      </c>
      <c r="Y229" s="93">
        <v>700</v>
      </c>
      <c r="Z229" s="93">
        <v>700</v>
      </c>
      <c r="AA229" s="93">
        <v>700</v>
      </c>
      <c r="AB229" s="93">
        <v>660</v>
      </c>
      <c r="AC229" s="94">
        <v>660</v>
      </c>
      <c r="AD229" s="94">
        <v>700</v>
      </c>
      <c r="AE229" s="93">
        <v>700</v>
      </c>
      <c r="AF229" s="93">
        <v>700</v>
      </c>
      <c r="AG229" s="93">
        <v>700</v>
      </c>
      <c r="AH229" s="93">
        <v>700</v>
      </c>
      <c r="AI229" s="139">
        <v>700</v>
      </c>
      <c r="AJ229" s="154">
        <v>700</v>
      </c>
    </row>
    <row r="230" ht="18" customHeight="1" outlineLevel="1" spans="2:36">
      <c r="B230" s="161"/>
      <c r="C230" s="91" t="s">
        <v>190</v>
      </c>
      <c r="D230" s="92">
        <v>0</v>
      </c>
      <c r="E230" s="92">
        <f>SUM(F230:AI230)</f>
        <v>2520</v>
      </c>
      <c r="F230" s="95">
        <f>F225*F228*F229*0.8</f>
        <v>0</v>
      </c>
      <c r="G230" s="95">
        <f t="shared" ref="G230:M230" si="133">G225*G228*G229</f>
        <v>0</v>
      </c>
      <c r="H230" s="96">
        <f t="shared" si="133"/>
        <v>0</v>
      </c>
      <c r="I230" s="96">
        <f>I225*I228*I229*0.8</f>
        <v>0</v>
      </c>
      <c r="J230" s="95">
        <f>J225*J228*J229*0.85</f>
        <v>0</v>
      </c>
      <c r="K230" s="95">
        <f>K225*K228*K229*0.95</f>
        <v>0</v>
      </c>
      <c r="L230" s="95">
        <f t="shared" si="133"/>
        <v>0</v>
      </c>
      <c r="M230" s="95">
        <f t="shared" si="133"/>
        <v>0</v>
      </c>
      <c r="N230" s="95">
        <v>0</v>
      </c>
      <c r="O230" s="115">
        <f t="shared" ref="O230:AJ230" si="134">O225*O228*O229</f>
        <v>0</v>
      </c>
      <c r="P230" s="115">
        <f>P225*P228*P229*0.45</f>
        <v>2520</v>
      </c>
      <c r="Q230" s="115">
        <f t="shared" si="134"/>
        <v>0</v>
      </c>
      <c r="R230" s="95">
        <f t="shared" si="134"/>
        <v>0</v>
      </c>
      <c r="S230" s="95">
        <f t="shared" si="134"/>
        <v>0</v>
      </c>
      <c r="T230" s="95">
        <f t="shared" si="134"/>
        <v>0</v>
      </c>
      <c r="U230" s="95">
        <f t="shared" si="134"/>
        <v>0</v>
      </c>
      <c r="V230" s="96">
        <f>V225*V228*V229*0.7</f>
        <v>0</v>
      </c>
      <c r="W230" s="123">
        <f>W225*W228*W229*0.85</f>
        <v>0</v>
      </c>
      <c r="X230" s="128">
        <f>X225*X228*X229*0.95</f>
        <v>0</v>
      </c>
      <c r="Y230" s="128">
        <f>Y225*Y228*Y229</f>
        <v>0</v>
      </c>
      <c r="Z230" s="128">
        <f t="shared" si="134"/>
        <v>0</v>
      </c>
      <c r="AA230" s="128">
        <f t="shared" si="134"/>
        <v>0</v>
      </c>
      <c r="AB230" s="128">
        <f t="shared" si="134"/>
        <v>0</v>
      </c>
      <c r="AC230" s="96">
        <f t="shared" si="134"/>
        <v>0</v>
      </c>
      <c r="AD230" s="96">
        <f t="shared" si="134"/>
        <v>0</v>
      </c>
      <c r="AE230" s="95">
        <f t="shared" si="134"/>
        <v>0</v>
      </c>
      <c r="AF230" s="139">
        <f t="shared" si="134"/>
        <v>0</v>
      </c>
      <c r="AG230" s="95">
        <f t="shared" si="134"/>
        <v>0</v>
      </c>
      <c r="AH230" s="139">
        <f t="shared" si="134"/>
        <v>0</v>
      </c>
      <c r="AI230" s="139">
        <f t="shared" si="134"/>
        <v>0</v>
      </c>
      <c r="AJ230" s="154">
        <f t="shared" si="134"/>
        <v>0</v>
      </c>
    </row>
    <row r="231" ht="18" customHeight="1" outlineLevel="1" spans="2:36">
      <c r="B231" s="162"/>
      <c r="C231" s="91" t="s">
        <v>191</v>
      </c>
      <c r="D231" s="92"/>
      <c r="E231" s="108">
        <f>SUM(F231:AJ231)</f>
        <v>3507</v>
      </c>
      <c r="F231" s="98"/>
      <c r="G231" s="99"/>
      <c r="H231" s="100"/>
      <c r="I231" s="100"/>
      <c r="J231" s="99"/>
      <c r="K231" s="99"/>
      <c r="L231" s="95"/>
      <c r="M231" s="95"/>
      <c r="N231" s="95">
        <v>406</v>
      </c>
      <c r="O231" s="115"/>
      <c r="P231" s="115">
        <v>3101</v>
      </c>
      <c r="Q231" s="115"/>
      <c r="R231" s="95"/>
      <c r="S231" s="95"/>
      <c r="T231" s="95"/>
      <c r="U231" s="95"/>
      <c r="V231" s="96"/>
      <c r="W231" s="96"/>
      <c r="X231" s="95"/>
      <c r="Y231" s="128"/>
      <c r="Z231" s="95"/>
      <c r="AA231" s="95"/>
      <c r="AB231" s="95"/>
      <c r="AC231" s="96"/>
      <c r="AD231" s="96"/>
      <c r="AE231" s="95"/>
      <c r="AF231" s="139"/>
      <c r="AG231" s="95"/>
      <c r="AH231" s="139"/>
      <c r="AI231" s="139"/>
      <c r="AJ231" s="154"/>
    </row>
    <row r="232" ht="18" customHeight="1" outlineLevel="1" spans="2:36">
      <c r="B232" s="161"/>
      <c r="C232" s="91" t="s">
        <v>192</v>
      </c>
      <c r="D232" s="92"/>
      <c r="E232" s="92"/>
      <c r="F232" s="95">
        <f t="shared" ref="F232:AJ232" si="135">F231-F230</f>
        <v>0</v>
      </c>
      <c r="G232" s="95">
        <f t="shared" si="135"/>
        <v>0</v>
      </c>
      <c r="H232" s="96">
        <f t="shared" si="135"/>
        <v>0</v>
      </c>
      <c r="I232" s="96">
        <f t="shared" si="135"/>
        <v>0</v>
      </c>
      <c r="J232" s="95">
        <f t="shared" si="135"/>
        <v>0</v>
      </c>
      <c r="K232" s="95">
        <f t="shared" si="135"/>
        <v>0</v>
      </c>
      <c r="L232" s="95">
        <f t="shared" si="135"/>
        <v>0</v>
      </c>
      <c r="M232" s="95">
        <f t="shared" si="135"/>
        <v>0</v>
      </c>
      <c r="N232" s="95">
        <v>0</v>
      </c>
      <c r="O232" s="115">
        <f t="shared" si="135"/>
        <v>0</v>
      </c>
      <c r="P232" s="115">
        <f t="shared" si="135"/>
        <v>581</v>
      </c>
      <c r="Q232" s="115">
        <f t="shared" si="135"/>
        <v>0</v>
      </c>
      <c r="R232" s="95">
        <f t="shared" si="135"/>
        <v>0</v>
      </c>
      <c r="S232" s="95">
        <f t="shared" si="135"/>
        <v>0</v>
      </c>
      <c r="T232" s="95">
        <f t="shared" si="135"/>
        <v>0</v>
      </c>
      <c r="U232" s="95">
        <f t="shared" si="135"/>
        <v>0</v>
      </c>
      <c r="V232" s="96">
        <f t="shared" si="135"/>
        <v>0</v>
      </c>
      <c r="W232" s="123">
        <f t="shared" si="135"/>
        <v>0</v>
      </c>
      <c r="X232" s="128">
        <f t="shared" si="135"/>
        <v>0</v>
      </c>
      <c r="Y232" s="128">
        <f t="shared" si="135"/>
        <v>0</v>
      </c>
      <c r="Z232" s="128">
        <f t="shared" si="135"/>
        <v>0</v>
      </c>
      <c r="AA232" s="128">
        <f t="shared" si="135"/>
        <v>0</v>
      </c>
      <c r="AB232" s="128">
        <f t="shared" si="135"/>
        <v>0</v>
      </c>
      <c r="AC232" s="96">
        <f t="shared" si="135"/>
        <v>0</v>
      </c>
      <c r="AD232" s="96">
        <f t="shared" si="135"/>
        <v>0</v>
      </c>
      <c r="AE232" s="95">
        <f t="shared" si="135"/>
        <v>0</v>
      </c>
      <c r="AF232" s="139">
        <f t="shared" si="135"/>
        <v>0</v>
      </c>
      <c r="AG232" s="95">
        <f t="shared" si="135"/>
        <v>0</v>
      </c>
      <c r="AH232" s="139">
        <f t="shared" si="135"/>
        <v>0</v>
      </c>
      <c r="AI232" s="139">
        <f t="shared" si="135"/>
        <v>0</v>
      </c>
      <c r="AJ232" s="154">
        <f t="shared" si="135"/>
        <v>0</v>
      </c>
    </row>
    <row r="233" ht="18" customHeight="1" outlineLevel="1" spans="2:36">
      <c r="B233" s="161"/>
      <c r="C233" s="91" t="s">
        <v>193</v>
      </c>
      <c r="D233" s="92"/>
      <c r="E233" s="92"/>
      <c r="F233" s="95">
        <f t="shared" ref="F233:AJ233" si="136">E233+F231</f>
        <v>0</v>
      </c>
      <c r="G233" s="95">
        <f t="shared" si="136"/>
        <v>0</v>
      </c>
      <c r="H233" s="96">
        <f t="shared" si="136"/>
        <v>0</v>
      </c>
      <c r="I233" s="96">
        <f t="shared" si="136"/>
        <v>0</v>
      </c>
      <c r="J233" s="95">
        <f t="shared" si="136"/>
        <v>0</v>
      </c>
      <c r="K233" s="95">
        <f t="shared" si="136"/>
        <v>0</v>
      </c>
      <c r="L233" s="95">
        <f t="shared" si="136"/>
        <v>0</v>
      </c>
      <c r="M233" s="95">
        <f t="shared" si="136"/>
        <v>0</v>
      </c>
      <c r="N233" s="95">
        <v>0</v>
      </c>
      <c r="O233" s="115">
        <f t="shared" si="136"/>
        <v>0</v>
      </c>
      <c r="P233" s="115">
        <f t="shared" si="136"/>
        <v>3101</v>
      </c>
      <c r="Q233" s="115">
        <f t="shared" si="136"/>
        <v>3101</v>
      </c>
      <c r="R233" s="95">
        <f t="shared" si="136"/>
        <v>3101</v>
      </c>
      <c r="S233" s="95">
        <f t="shared" si="136"/>
        <v>3101</v>
      </c>
      <c r="T233" s="95">
        <f t="shared" si="136"/>
        <v>3101</v>
      </c>
      <c r="U233" s="95">
        <f t="shared" si="136"/>
        <v>3101</v>
      </c>
      <c r="V233" s="96">
        <f t="shared" si="136"/>
        <v>3101</v>
      </c>
      <c r="W233" s="123">
        <f t="shared" si="136"/>
        <v>3101</v>
      </c>
      <c r="X233" s="128">
        <f t="shared" si="136"/>
        <v>3101</v>
      </c>
      <c r="Y233" s="128">
        <f t="shared" si="136"/>
        <v>3101</v>
      </c>
      <c r="Z233" s="128">
        <f t="shared" si="136"/>
        <v>3101</v>
      </c>
      <c r="AA233" s="128">
        <f t="shared" si="136"/>
        <v>3101</v>
      </c>
      <c r="AB233" s="128">
        <f t="shared" si="136"/>
        <v>3101</v>
      </c>
      <c r="AC233" s="96">
        <f t="shared" si="136"/>
        <v>3101</v>
      </c>
      <c r="AD233" s="96">
        <f t="shared" si="136"/>
        <v>3101</v>
      </c>
      <c r="AE233" s="95">
        <f t="shared" si="136"/>
        <v>3101</v>
      </c>
      <c r="AF233" s="139">
        <f t="shared" si="136"/>
        <v>3101</v>
      </c>
      <c r="AG233" s="95">
        <f t="shared" si="136"/>
        <v>3101</v>
      </c>
      <c r="AH233" s="139">
        <f t="shared" si="136"/>
        <v>3101</v>
      </c>
      <c r="AI233" s="139">
        <f t="shared" si="136"/>
        <v>3101</v>
      </c>
      <c r="AJ233" s="154">
        <f t="shared" si="136"/>
        <v>3101</v>
      </c>
    </row>
    <row r="234" ht="18" customHeight="1" spans="2:36">
      <c r="B234" s="164"/>
      <c r="C234" s="102" t="s">
        <v>194</v>
      </c>
      <c r="D234" s="103"/>
      <c r="E234" s="103"/>
      <c r="F234" s="104" t="str">
        <f t="shared" ref="F234:AJ234" si="137">IF(F231&gt;0,F231/F230,"")</f>
        <v/>
      </c>
      <c r="G234" s="104" t="str">
        <f t="shared" si="137"/>
        <v/>
      </c>
      <c r="H234" s="105" t="str">
        <f t="shared" si="137"/>
        <v/>
      </c>
      <c r="I234" s="105" t="str">
        <f t="shared" si="137"/>
        <v/>
      </c>
      <c r="J234" s="104" t="str">
        <f t="shared" si="137"/>
        <v/>
      </c>
      <c r="K234" s="104" t="str">
        <f t="shared" si="137"/>
        <v/>
      </c>
      <c r="L234" s="104" t="str">
        <f t="shared" si="137"/>
        <v/>
      </c>
      <c r="M234" s="104" t="str">
        <f t="shared" si="137"/>
        <v/>
      </c>
      <c r="N234" s="104" t="s">
        <v>195</v>
      </c>
      <c r="O234" s="116" t="str">
        <f t="shared" si="137"/>
        <v/>
      </c>
      <c r="P234" s="116">
        <f t="shared" si="137"/>
        <v>1.23055555555556</v>
      </c>
      <c r="Q234" s="116" t="str">
        <f t="shared" si="137"/>
        <v/>
      </c>
      <c r="R234" s="104" t="str">
        <f t="shared" si="137"/>
        <v/>
      </c>
      <c r="S234" s="104" t="str">
        <f t="shared" si="137"/>
        <v/>
      </c>
      <c r="T234" s="104" t="str">
        <f t="shared" si="137"/>
        <v/>
      </c>
      <c r="U234" s="104" t="str">
        <f t="shared" si="137"/>
        <v/>
      </c>
      <c r="V234" s="105" t="str">
        <f t="shared" si="137"/>
        <v/>
      </c>
      <c r="W234" s="105" t="str">
        <f t="shared" si="137"/>
        <v/>
      </c>
      <c r="X234" s="104" t="str">
        <f t="shared" si="137"/>
        <v/>
      </c>
      <c r="Y234" s="104" t="str">
        <f t="shared" si="137"/>
        <v/>
      </c>
      <c r="Z234" s="142" t="str">
        <f t="shared" si="137"/>
        <v/>
      </c>
      <c r="AA234" s="104" t="str">
        <f t="shared" si="137"/>
        <v/>
      </c>
      <c r="AB234" s="104" t="str">
        <f t="shared" si="137"/>
        <v/>
      </c>
      <c r="AC234" s="105" t="str">
        <f t="shared" si="137"/>
        <v/>
      </c>
      <c r="AD234" s="105" t="str">
        <f t="shared" si="137"/>
        <v/>
      </c>
      <c r="AE234" s="104" t="str">
        <f t="shared" si="137"/>
        <v/>
      </c>
      <c r="AF234" s="141" t="str">
        <f t="shared" si="137"/>
        <v/>
      </c>
      <c r="AG234" s="104" t="str">
        <f t="shared" si="137"/>
        <v/>
      </c>
      <c r="AH234" s="155" t="str">
        <f t="shared" si="137"/>
        <v/>
      </c>
      <c r="AI234" s="155" t="str">
        <f t="shared" si="137"/>
        <v/>
      </c>
      <c r="AJ234" s="156" t="str">
        <f t="shared" si="137"/>
        <v/>
      </c>
    </row>
    <row r="235" ht="18" customHeight="1" outlineLevel="1" spans="2:36">
      <c r="B235" s="160" t="s">
        <v>143</v>
      </c>
      <c r="C235" s="86" t="s">
        <v>185</v>
      </c>
      <c r="D235" s="87"/>
      <c r="E235" s="87"/>
      <c r="F235" s="88"/>
      <c r="G235" s="88"/>
      <c r="H235" s="89">
        <v>1</v>
      </c>
      <c r="I235" s="89">
        <v>1</v>
      </c>
      <c r="J235" s="88">
        <v>1</v>
      </c>
      <c r="K235" s="88"/>
      <c r="L235" s="88"/>
      <c r="M235" s="88"/>
      <c r="N235" s="88"/>
      <c r="O235" s="113"/>
      <c r="P235" s="113"/>
      <c r="Q235" s="113"/>
      <c r="R235" s="88"/>
      <c r="S235" s="88"/>
      <c r="T235" s="88"/>
      <c r="U235" s="88"/>
      <c r="V235" s="89"/>
      <c r="W235" s="126"/>
      <c r="X235" s="88"/>
      <c r="Y235" s="88"/>
      <c r="Z235" s="88"/>
      <c r="AA235" s="88"/>
      <c r="AB235" s="88"/>
      <c r="AC235" s="89"/>
      <c r="AD235" s="89"/>
      <c r="AE235" s="88"/>
      <c r="AF235" s="137"/>
      <c r="AG235" s="185"/>
      <c r="AH235" s="189"/>
      <c r="AI235" s="189">
        <v>1</v>
      </c>
      <c r="AJ235" s="158"/>
    </row>
    <row r="236" ht="18" customHeight="1" outlineLevel="1" spans="2:36">
      <c r="B236" s="161"/>
      <c r="C236" s="91" t="s">
        <v>186</v>
      </c>
      <c r="D236" s="92"/>
      <c r="E236" s="92"/>
      <c r="F236" s="93">
        <v>0</v>
      </c>
      <c r="G236" s="93">
        <v>0</v>
      </c>
      <c r="H236" s="94">
        <v>40</v>
      </c>
      <c r="I236" s="94">
        <v>40</v>
      </c>
      <c r="J236" s="93">
        <v>40</v>
      </c>
      <c r="K236" s="93">
        <v>40</v>
      </c>
      <c r="L236" s="93">
        <v>0</v>
      </c>
      <c r="M236" s="93">
        <v>40</v>
      </c>
      <c r="N236" s="93">
        <v>40</v>
      </c>
      <c r="O236" s="114">
        <v>40</v>
      </c>
      <c r="P236" s="114">
        <v>40</v>
      </c>
      <c r="Q236" s="114">
        <v>0</v>
      </c>
      <c r="R236" s="93">
        <v>40</v>
      </c>
      <c r="S236" s="93">
        <v>40</v>
      </c>
      <c r="T236" s="93">
        <v>40</v>
      </c>
      <c r="U236" s="93">
        <v>40</v>
      </c>
      <c r="V236" s="94">
        <v>40</v>
      </c>
      <c r="W236" s="96">
        <v>40</v>
      </c>
      <c r="X236" s="93">
        <v>40</v>
      </c>
      <c r="Y236" s="93">
        <v>40</v>
      </c>
      <c r="Z236" s="93">
        <v>40</v>
      </c>
      <c r="AA236" s="93">
        <v>40</v>
      </c>
      <c r="AB236" s="93">
        <v>40</v>
      </c>
      <c r="AC236" s="94">
        <v>40</v>
      </c>
      <c r="AD236" s="94">
        <v>40</v>
      </c>
      <c r="AE236" s="93">
        <v>40</v>
      </c>
      <c r="AF236" s="93">
        <v>40</v>
      </c>
      <c r="AG236" s="93">
        <v>40</v>
      </c>
      <c r="AH236" s="93">
        <v>40</v>
      </c>
      <c r="AI236" s="93">
        <v>41</v>
      </c>
      <c r="AJ236" s="154">
        <v>0</v>
      </c>
    </row>
    <row r="237" ht="18" customHeight="1" outlineLevel="1" spans="2:36">
      <c r="B237" s="161"/>
      <c r="C237" s="91" t="s">
        <v>187</v>
      </c>
      <c r="D237" s="92"/>
      <c r="E237" s="92"/>
      <c r="F237" s="93">
        <f t="shared" ref="F237:AJ237" si="138">F235*F236</f>
        <v>0</v>
      </c>
      <c r="G237" s="93">
        <f t="shared" si="138"/>
        <v>0</v>
      </c>
      <c r="H237" s="94">
        <f t="shared" si="138"/>
        <v>40</v>
      </c>
      <c r="I237" s="94">
        <f t="shared" si="138"/>
        <v>40</v>
      </c>
      <c r="J237" s="93">
        <f t="shared" si="138"/>
        <v>40</v>
      </c>
      <c r="K237" s="93">
        <f t="shared" si="138"/>
        <v>0</v>
      </c>
      <c r="L237" s="93">
        <f t="shared" si="138"/>
        <v>0</v>
      </c>
      <c r="M237" s="93">
        <f t="shared" si="138"/>
        <v>0</v>
      </c>
      <c r="N237" s="93">
        <v>0</v>
      </c>
      <c r="O237" s="114">
        <f t="shared" si="138"/>
        <v>0</v>
      </c>
      <c r="P237" s="114">
        <f t="shared" si="138"/>
        <v>0</v>
      </c>
      <c r="Q237" s="114">
        <f t="shared" si="138"/>
        <v>0</v>
      </c>
      <c r="R237" s="93">
        <f t="shared" si="138"/>
        <v>0</v>
      </c>
      <c r="S237" s="93">
        <f t="shared" si="138"/>
        <v>0</v>
      </c>
      <c r="T237" s="93">
        <f t="shared" si="138"/>
        <v>0</v>
      </c>
      <c r="U237" s="93">
        <f t="shared" si="138"/>
        <v>0</v>
      </c>
      <c r="V237" s="94">
        <f t="shared" si="138"/>
        <v>0</v>
      </c>
      <c r="W237" s="96">
        <f t="shared" si="138"/>
        <v>0</v>
      </c>
      <c r="X237" s="93">
        <f t="shared" si="138"/>
        <v>0</v>
      </c>
      <c r="Y237" s="93">
        <f t="shared" si="138"/>
        <v>0</v>
      </c>
      <c r="Z237" s="93">
        <f t="shared" si="138"/>
        <v>0</v>
      </c>
      <c r="AA237" s="93">
        <f t="shared" si="138"/>
        <v>0</v>
      </c>
      <c r="AB237" s="93">
        <f t="shared" si="138"/>
        <v>0</v>
      </c>
      <c r="AC237" s="94">
        <f t="shared" si="138"/>
        <v>0</v>
      </c>
      <c r="AD237" s="94">
        <f t="shared" si="138"/>
        <v>0</v>
      </c>
      <c r="AE237" s="93">
        <f t="shared" si="138"/>
        <v>0</v>
      </c>
      <c r="AF237" s="93">
        <f t="shared" si="138"/>
        <v>0</v>
      </c>
      <c r="AG237" s="93">
        <f t="shared" si="138"/>
        <v>0</v>
      </c>
      <c r="AH237" s="93">
        <f t="shared" si="138"/>
        <v>0</v>
      </c>
      <c r="AI237" s="93">
        <f t="shared" si="138"/>
        <v>41</v>
      </c>
      <c r="AJ237" s="154">
        <f t="shared" si="138"/>
        <v>0</v>
      </c>
    </row>
    <row r="238" ht="18" customHeight="1" outlineLevel="1" spans="2:36">
      <c r="B238" s="161"/>
      <c r="C238" s="91" t="s">
        <v>188</v>
      </c>
      <c r="D238" s="92"/>
      <c r="E238" s="92"/>
      <c r="F238" s="93"/>
      <c r="G238" s="93"/>
      <c r="H238" s="94">
        <v>1</v>
      </c>
      <c r="I238" s="94">
        <v>11.5</v>
      </c>
      <c r="J238" s="93">
        <v>1</v>
      </c>
      <c r="K238" s="93">
        <v>11</v>
      </c>
      <c r="L238" s="93"/>
      <c r="M238" s="93">
        <v>11</v>
      </c>
      <c r="N238" s="93">
        <v>11</v>
      </c>
      <c r="O238" s="114">
        <v>11</v>
      </c>
      <c r="P238" s="114">
        <v>11</v>
      </c>
      <c r="Q238" s="114"/>
      <c r="R238" s="93">
        <v>8</v>
      </c>
      <c r="S238" s="93">
        <v>11.5</v>
      </c>
      <c r="T238" s="93">
        <v>11.5</v>
      </c>
      <c r="U238" s="93">
        <v>11.5</v>
      </c>
      <c r="V238" s="94">
        <v>11.5</v>
      </c>
      <c r="W238" s="96">
        <v>11.5</v>
      </c>
      <c r="X238" s="93">
        <v>11.5</v>
      </c>
      <c r="Y238" s="93">
        <v>11.5</v>
      </c>
      <c r="Z238" s="93">
        <v>11.5</v>
      </c>
      <c r="AA238" s="93">
        <v>11.5</v>
      </c>
      <c r="AB238" s="93">
        <v>11.5</v>
      </c>
      <c r="AC238" s="94">
        <v>11.5</v>
      </c>
      <c r="AD238" s="94">
        <v>8</v>
      </c>
      <c r="AE238" s="93">
        <v>11.5</v>
      </c>
      <c r="AF238" s="93">
        <v>11.5</v>
      </c>
      <c r="AG238" s="93">
        <v>11.5</v>
      </c>
      <c r="AH238" s="93">
        <v>11.5</v>
      </c>
      <c r="AI238" s="93">
        <v>4</v>
      </c>
      <c r="AJ238" s="154"/>
    </row>
    <row r="239" ht="18" customHeight="1" outlineLevel="1" spans="2:36">
      <c r="B239" s="161"/>
      <c r="C239" s="91" t="s">
        <v>189</v>
      </c>
      <c r="D239" s="92"/>
      <c r="E239" s="92"/>
      <c r="F239" s="93">
        <v>0</v>
      </c>
      <c r="G239" s="93">
        <v>0</v>
      </c>
      <c r="H239" s="94">
        <v>635</v>
      </c>
      <c r="I239" s="94">
        <v>635</v>
      </c>
      <c r="J239" s="93">
        <v>635</v>
      </c>
      <c r="K239" s="93">
        <v>635</v>
      </c>
      <c r="L239" s="93">
        <v>0</v>
      </c>
      <c r="M239" s="93">
        <v>635</v>
      </c>
      <c r="N239" s="93">
        <v>635</v>
      </c>
      <c r="O239" s="114">
        <v>635</v>
      </c>
      <c r="P239" s="114">
        <v>635</v>
      </c>
      <c r="Q239" s="114">
        <v>0</v>
      </c>
      <c r="R239" s="93">
        <v>635</v>
      </c>
      <c r="S239" s="93">
        <v>635</v>
      </c>
      <c r="T239" s="93">
        <v>635</v>
      </c>
      <c r="U239" s="93">
        <v>635</v>
      </c>
      <c r="V239" s="94">
        <v>635</v>
      </c>
      <c r="W239" s="96">
        <v>635</v>
      </c>
      <c r="X239" s="93">
        <v>635</v>
      </c>
      <c r="Y239" s="93">
        <v>635</v>
      </c>
      <c r="Z239" s="93">
        <v>635</v>
      </c>
      <c r="AA239" s="93">
        <v>635</v>
      </c>
      <c r="AB239" s="93">
        <v>635</v>
      </c>
      <c r="AC239" s="94">
        <v>635</v>
      </c>
      <c r="AD239" s="94">
        <v>635</v>
      </c>
      <c r="AE239" s="93">
        <v>635</v>
      </c>
      <c r="AF239" s="93">
        <v>635</v>
      </c>
      <c r="AG239" s="93">
        <v>635</v>
      </c>
      <c r="AH239" s="93">
        <v>635</v>
      </c>
      <c r="AI239" s="93">
        <v>700</v>
      </c>
      <c r="AJ239" s="154">
        <v>0</v>
      </c>
    </row>
    <row r="240" ht="18" customHeight="1" outlineLevel="1" spans="2:36">
      <c r="B240" s="161"/>
      <c r="C240" s="91" t="s">
        <v>190</v>
      </c>
      <c r="D240" s="92">
        <v>100000</v>
      </c>
      <c r="E240" s="92">
        <f>SUM(F240:AI240)</f>
        <v>5593.875</v>
      </c>
      <c r="F240" s="95">
        <f t="shared" ref="F240:AJ240" si="139">F235*F238*F239</f>
        <v>0</v>
      </c>
      <c r="G240" s="95">
        <f t="shared" si="139"/>
        <v>0</v>
      </c>
      <c r="H240" s="96">
        <f t="shared" si="139"/>
        <v>635</v>
      </c>
      <c r="I240" s="96">
        <f>I235*I238*I239*0.45</f>
        <v>3286.125</v>
      </c>
      <c r="J240" s="95">
        <f>J235*J238*J239*0.65</f>
        <v>412.75</v>
      </c>
      <c r="K240" s="95">
        <f t="shared" si="139"/>
        <v>0</v>
      </c>
      <c r="L240" s="95">
        <f t="shared" si="139"/>
        <v>0</v>
      </c>
      <c r="M240" s="95">
        <f t="shared" si="139"/>
        <v>0</v>
      </c>
      <c r="N240" s="95">
        <v>0</v>
      </c>
      <c r="O240" s="115">
        <f t="shared" si="139"/>
        <v>0</v>
      </c>
      <c r="P240" s="115">
        <f t="shared" si="139"/>
        <v>0</v>
      </c>
      <c r="Q240" s="115">
        <f t="shared" si="139"/>
        <v>0</v>
      </c>
      <c r="R240" s="95">
        <f>R235*R238*R239*0.6</f>
        <v>0</v>
      </c>
      <c r="S240" s="95">
        <f>S235*S238*S239*0.7</f>
        <v>0</v>
      </c>
      <c r="T240" s="95">
        <f>T235*T238*T239*0.85</f>
        <v>0</v>
      </c>
      <c r="U240" s="95">
        <f>U235*U238*U239*0.95</f>
        <v>0</v>
      </c>
      <c r="V240" s="96">
        <f t="shared" si="139"/>
        <v>0</v>
      </c>
      <c r="W240" s="123">
        <f t="shared" si="139"/>
        <v>0</v>
      </c>
      <c r="X240" s="128">
        <f t="shared" si="139"/>
        <v>0</v>
      </c>
      <c r="Y240" s="128">
        <f t="shared" si="139"/>
        <v>0</v>
      </c>
      <c r="Z240" s="128">
        <f t="shared" si="139"/>
        <v>0</v>
      </c>
      <c r="AA240" s="128">
        <f t="shared" si="139"/>
        <v>0</v>
      </c>
      <c r="AB240" s="128">
        <f t="shared" si="139"/>
        <v>0</v>
      </c>
      <c r="AC240" s="96">
        <f t="shared" si="139"/>
        <v>0</v>
      </c>
      <c r="AD240" s="96">
        <f t="shared" si="139"/>
        <v>0</v>
      </c>
      <c r="AE240" s="95">
        <f t="shared" si="139"/>
        <v>0</v>
      </c>
      <c r="AF240" s="139">
        <f t="shared" si="139"/>
        <v>0</v>
      </c>
      <c r="AG240" s="95">
        <f t="shared" si="139"/>
        <v>0</v>
      </c>
      <c r="AH240" s="139">
        <f t="shared" si="139"/>
        <v>0</v>
      </c>
      <c r="AI240" s="139">
        <f>AI235*AI238*AI239*0.45</f>
        <v>1260</v>
      </c>
      <c r="AJ240" s="154">
        <f t="shared" si="139"/>
        <v>0</v>
      </c>
    </row>
    <row r="241" ht="18" customHeight="1" outlineLevel="1" spans="2:36">
      <c r="B241" s="161"/>
      <c r="C241" s="91" t="s">
        <v>191</v>
      </c>
      <c r="D241" s="92"/>
      <c r="E241" s="108">
        <f>SUM(F241:AJ241)</f>
        <v>5065</v>
      </c>
      <c r="F241" s="98"/>
      <c r="G241" s="99"/>
      <c r="H241" s="100">
        <v>400</v>
      </c>
      <c r="I241" s="100">
        <v>3215</v>
      </c>
      <c r="J241" s="99">
        <v>400</v>
      </c>
      <c r="K241" s="99"/>
      <c r="L241" s="95"/>
      <c r="M241" s="95"/>
      <c r="N241" s="95"/>
      <c r="O241" s="115"/>
      <c r="P241" s="115"/>
      <c r="Q241" s="115"/>
      <c r="R241" s="95"/>
      <c r="S241" s="95"/>
      <c r="T241" s="95"/>
      <c r="U241" s="95"/>
      <c r="V241" s="96"/>
      <c r="W241" s="96"/>
      <c r="X241" s="95"/>
      <c r="Y241" s="128"/>
      <c r="Z241" s="95"/>
      <c r="AA241" s="95"/>
      <c r="AB241" s="95"/>
      <c r="AC241" s="96"/>
      <c r="AD241" s="96"/>
      <c r="AE241" s="95"/>
      <c r="AF241" s="139"/>
      <c r="AG241" s="95"/>
      <c r="AH241" s="139"/>
      <c r="AI241" s="139">
        <v>1050</v>
      </c>
      <c r="AJ241" s="154"/>
    </row>
    <row r="242" ht="18" customHeight="1" outlineLevel="1" spans="2:36">
      <c r="B242" s="161"/>
      <c r="C242" s="91" t="s">
        <v>192</v>
      </c>
      <c r="D242" s="92"/>
      <c r="E242" s="92"/>
      <c r="F242" s="95">
        <f t="shared" ref="F242:O242" si="140">F241-F240</f>
        <v>0</v>
      </c>
      <c r="G242" s="95">
        <f t="shared" si="140"/>
        <v>0</v>
      </c>
      <c r="H242" s="96">
        <f t="shared" si="140"/>
        <v>-235</v>
      </c>
      <c r="I242" s="96">
        <f t="shared" si="140"/>
        <v>-71.125</v>
      </c>
      <c r="J242" s="95">
        <f t="shared" si="140"/>
        <v>-12.75</v>
      </c>
      <c r="K242" s="95">
        <f t="shared" si="140"/>
        <v>0</v>
      </c>
      <c r="L242" s="95">
        <f t="shared" si="140"/>
        <v>0</v>
      </c>
      <c r="M242" s="95">
        <f t="shared" si="140"/>
        <v>0</v>
      </c>
      <c r="N242" s="95">
        <v>0</v>
      </c>
      <c r="O242" s="115">
        <f t="shared" si="140"/>
        <v>0</v>
      </c>
      <c r="P242" s="115"/>
      <c r="Q242" s="115">
        <f t="shared" ref="Q242:AJ242" si="141">Q241-Q240</f>
        <v>0</v>
      </c>
      <c r="R242" s="95">
        <f t="shared" si="141"/>
        <v>0</v>
      </c>
      <c r="S242" s="95">
        <f t="shared" si="141"/>
        <v>0</v>
      </c>
      <c r="T242" s="95">
        <f t="shared" si="141"/>
        <v>0</v>
      </c>
      <c r="U242" s="95">
        <f t="shared" si="141"/>
        <v>0</v>
      </c>
      <c r="V242" s="96">
        <f t="shared" si="141"/>
        <v>0</v>
      </c>
      <c r="W242" s="123">
        <f t="shared" si="141"/>
        <v>0</v>
      </c>
      <c r="X242" s="128">
        <f t="shared" si="141"/>
        <v>0</v>
      </c>
      <c r="Y242" s="128">
        <f t="shared" si="141"/>
        <v>0</v>
      </c>
      <c r="Z242" s="128">
        <f t="shared" si="141"/>
        <v>0</v>
      </c>
      <c r="AA242" s="128">
        <f t="shared" si="141"/>
        <v>0</v>
      </c>
      <c r="AB242" s="128">
        <f t="shared" si="141"/>
        <v>0</v>
      </c>
      <c r="AC242" s="96">
        <f t="shared" si="141"/>
        <v>0</v>
      </c>
      <c r="AD242" s="96">
        <f t="shared" si="141"/>
        <v>0</v>
      </c>
      <c r="AE242" s="95">
        <f t="shared" si="141"/>
        <v>0</v>
      </c>
      <c r="AF242" s="139">
        <f t="shared" si="141"/>
        <v>0</v>
      </c>
      <c r="AG242" s="95">
        <f t="shared" si="141"/>
        <v>0</v>
      </c>
      <c r="AH242" s="139">
        <f t="shared" si="141"/>
        <v>0</v>
      </c>
      <c r="AI242" s="139">
        <f t="shared" si="141"/>
        <v>-210</v>
      </c>
      <c r="AJ242" s="154">
        <f t="shared" si="141"/>
        <v>0</v>
      </c>
    </row>
    <row r="243" ht="18" customHeight="1" outlineLevel="1" spans="2:36">
      <c r="B243" s="161"/>
      <c r="C243" s="91" t="s">
        <v>193</v>
      </c>
      <c r="D243" s="92"/>
      <c r="E243" s="92"/>
      <c r="F243" s="95">
        <f t="shared" ref="F243:O243" si="142">E243+F241</f>
        <v>0</v>
      </c>
      <c r="G243" s="95">
        <f t="shared" si="142"/>
        <v>0</v>
      </c>
      <c r="H243" s="96">
        <f t="shared" si="142"/>
        <v>400</v>
      </c>
      <c r="I243" s="96">
        <f t="shared" si="142"/>
        <v>3615</v>
      </c>
      <c r="J243" s="95">
        <f t="shared" si="142"/>
        <v>4015</v>
      </c>
      <c r="K243" s="95">
        <f t="shared" si="142"/>
        <v>4015</v>
      </c>
      <c r="L243" s="95">
        <f t="shared" si="142"/>
        <v>4015</v>
      </c>
      <c r="M243" s="95">
        <f t="shared" si="142"/>
        <v>4015</v>
      </c>
      <c r="N243" s="95">
        <v>4015</v>
      </c>
      <c r="O243" s="115">
        <f t="shared" si="142"/>
        <v>4015</v>
      </c>
      <c r="P243" s="115"/>
      <c r="Q243" s="115">
        <f t="shared" ref="Q243:AJ243" si="143">P243+Q241</f>
        <v>0</v>
      </c>
      <c r="R243" s="95">
        <f t="shared" si="143"/>
        <v>0</v>
      </c>
      <c r="S243" s="95">
        <f t="shared" si="143"/>
        <v>0</v>
      </c>
      <c r="T243" s="95">
        <f t="shared" si="143"/>
        <v>0</v>
      </c>
      <c r="U243" s="95">
        <f t="shared" si="143"/>
        <v>0</v>
      </c>
      <c r="V243" s="96">
        <f t="shared" si="143"/>
        <v>0</v>
      </c>
      <c r="W243" s="123">
        <f t="shared" si="143"/>
        <v>0</v>
      </c>
      <c r="X243" s="128">
        <f t="shared" si="143"/>
        <v>0</v>
      </c>
      <c r="Y243" s="128">
        <f t="shared" si="143"/>
        <v>0</v>
      </c>
      <c r="Z243" s="128">
        <f t="shared" si="143"/>
        <v>0</v>
      </c>
      <c r="AA243" s="128">
        <f t="shared" si="143"/>
        <v>0</v>
      </c>
      <c r="AB243" s="128">
        <f t="shared" si="143"/>
        <v>0</v>
      </c>
      <c r="AC243" s="96">
        <f t="shared" si="143"/>
        <v>0</v>
      </c>
      <c r="AD243" s="96">
        <f t="shared" si="143"/>
        <v>0</v>
      </c>
      <c r="AE243" s="95">
        <f t="shared" si="143"/>
        <v>0</v>
      </c>
      <c r="AF243" s="139">
        <f t="shared" si="143"/>
        <v>0</v>
      </c>
      <c r="AG243" s="95">
        <f t="shared" si="143"/>
        <v>0</v>
      </c>
      <c r="AH243" s="139">
        <f t="shared" si="143"/>
        <v>0</v>
      </c>
      <c r="AI243" s="139">
        <f t="shared" si="143"/>
        <v>1050</v>
      </c>
      <c r="AJ243" s="154">
        <f t="shared" si="143"/>
        <v>1050</v>
      </c>
    </row>
    <row r="244" ht="18" customHeight="1" spans="2:36">
      <c r="B244" s="164"/>
      <c r="C244" s="102" t="s">
        <v>194</v>
      </c>
      <c r="D244" s="103"/>
      <c r="E244" s="103"/>
      <c r="F244" s="104" t="str">
        <f t="shared" ref="F244:O244" si="144">IF(F241&gt;0,F241/F240,"")</f>
        <v/>
      </c>
      <c r="G244" s="104" t="str">
        <f t="shared" si="144"/>
        <v/>
      </c>
      <c r="H244" s="105">
        <f t="shared" si="144"/>
        <v>0.62992125984252</v>
      </c>
      <c r="I244" s="105">
        <f t="shared" si="144"/>
        <v>0.978355966373769</v>
      </c>
      <c r="J244" s="104">
        <f t="shared" si="144"/>
        <v>0.969109630526953</v>
      </c>
      <c r="K244" s="104" t="str">
        <f t="shared" si="144"/>
        <v/>
      </c>
      <c r="L244" s="104" t="str">
        <f t="shared" si="144"/>
        <v/>
      </c>
      <c r="M244" s="104" t="str">
        <f t="shared" si="144"/>
        <v/>
      </c>
      <c r="N244" s="104" t="s">
        <v>195</v>
      </c>
      <c r="O244" s="116" t="str">
        <f t="shared" si="144"/>
        <v/>
      </c>
      <c r="P244" s="116"/>
      <c r="Q244" s="116" t="str">
        <f t="shared" ref="Q244:AJ244" si="145">IF(Q241&gt;0,Q241/Q240,"")</f>
        <v/>
      </c>
      <c r="R244" s="104" t="str">
        <f t="shared" si="145"/>
        <v/>
      </c>
      <c r="S244" s="104" t="str">
        <f t="shared" si="145"/>
        <v/>
      </c>
      <c r="T244" s="104" t="str">
        <f t="shared" si="145"/>
        <v/>
      </c>
      <c r="U244" s="104" t="str">
        <f t="shared" si="145"/>
        <v/>
      </c>
      <c r="V244" s="105" t="str">
        <f t="shared" si="145"/>
        <v/>
      </c>
      <c r="W244" s="105" t="str">
        <f t="shared" si="145"/>
        <v/>
      </c>
      <c r="X244" s="104" t="str">
        <f t="shared" si="145"/>
        <v/>
      </c>
      <c r="Y244" s="188" t="str">
        <f t="shared" si="145"/>
        <v/>
      </c>
      <c r="Z244" s="142" t="str">
        <f t="shared" si="145"/>
        <v/>
      </c>
      <c r="AA244" s="104" t="str">
        <f t="shared" si="145"/>
        <v/>
      </c>
      <c r="AB244" s="104" t="str">
        <f t="shared" si="145"/>
        <v/>
      </c>
      <c r="AC244" s="105" t="str">
        <f t="shared" si="145"/>
        <v/>
      </c>
      <c r="AD244" s="105" t="str">
        <f t="shared" si="145"/>
        <v/>
      </c>
      <c r="AE244" s="104" t="str">
        <f t="shared" si="145"/>
        <v/>
      </c>
      <c r="AF244" s="141" t="str">
        <f t="shared" si="145"/>
        <v/>
      </c>
      <c r="AG244" s="104" t="str">
        <f t="shared" si="145"/>
        <v/>
      </c>
      <c r="AH244" s="142" t="str">
        <f t="shared" si="145"/>
        <v/>
      </c>
      <c r="AI244" s="142">
        <f t="shared" si="145"/>
        <v>0.833333333333333</v>
      </c>
      <c r="AJ244" s="156" t="str">
        <f t="shared" si="145"/>
        <v/>
      </c>
    </row>
    <row r="245" ht="18" customHeight="1" outlineLevel="1" spans="2:36">
      <c r="B245" s="160" t="s">
        <v>149</v>
      </c>
      <c r="C245" s="86" t="s">
        <v>185</v>
      </c>
      <c r="D245" s="87"/>
      <c r="E245" s="87"/>
      <c r="F245" s="88"/>
      <c r="G245" s="88"/>
      <c r="H245" s="89">
        <v>1</v>
      </c>
      <c r="I245" s="89">
        <v>1</v>
      </c>
      <c r="J245" s="88">
        <v>1</v>
      </c>
      <c r="K245" s="88"/>
      <c r="L245" s="88"/>
      <c r="M245" s="88"/>
      <c r="N245" s="88"/>
      <c r="O245" s="113"/>
      <c r="P245" s="113"/>
      <c r="Q245" s="113"/>
      <c r="R245" s="88"/>
      <c r="S245" s="88"/>
      <c r="T245" s="88"/>
      <c r="U245" s="88"/>
      <c r="V245" s="89"/>
      <c r="W245" s="126"/>
      <c r="X245" s="88"/>
      <c r="Y245" s="88"/>
      <c r="Z245" s="88"/>
      <c r="AA245" s="88"/>
      <c r="AB245" s="88"/>
      <c r="AC245" s="89"/>
      <c r="AD245" s="89"/>
      <c r="AE245" s="88"/>
      <c r="AF245" s="137"/>
      <c r="AG245" s="88"/>
      <c r="AH245" s="157"/>
      <c r="AI245" s="157"/>
      <c r="AJ245" s="158"/>
    </row>
    <row r="246" ht="18" customHeight="1" outlineLevel="1" spans="2:36">
      <c r="B246" s="161"/>
      <c r="C246" s="91" t="s">
        <v>186</v>
      </c>
      <c r="D246" s="92"/>
      <c r="E246" s="92"/>
      <c r="F246" s="93">
        <v>0</v>
      </c>
      <c r="G246" s="93">
        <v>0</v>
      </c>
      <c r="H246" s="94">
        <v>40</v>
      </c>
      <c r="I246" s="94">
        <v>40</v>
      </c>
      <c r="J246" s="93">
        <v>40</v>
      </c>
      <c r="K246" s="93">
        <v>40</v>
      </c>
      <c r="L246" s="93">
        <v>0</v>
      </c>
      <c r="M246" s="93">
        <v>40</v>
      </c>
      <c r="N246" s="93">
        <v>40</v>
      </c>
      <c r="O246" s="114">
        <v>40</v>
      </c>
      <c r="P246" s="114">
        <v>40</v>
      </c>
      <c r="Q246" s="114">
        <v>0</v>
      </c>
      <c r="R246" s="93">
        <v>40</v>
      </c>
      <c r="S246" s="93">
        <v>40</v>
      </c>
      <c r="T246" s="93">
        <v>40</v>
      </c>
      <c r="U246" s="93">
        <v>40</v>
      </c>
      <c r="V246" s="94">
        <v>40</v>
      </c>
      <c r="W246" s="96">
        <v>40</v>
      </c>
      <c r="X246" s="93">
        <v>40</v>
      </c>
      <c r="Y246" s="93">
        <v>40</v>
      </c>
      <c r="Z246" s="93">
        <v>40</v>
      </c>
      <c r="AA246" s="93">
        <v>40</v>
      </c>
      <c r="AB246" s="93">
        <v>40</v>
      </c>
      <c r="AC246" s="94">
        <v>40</v>
      </c>
      <c r="AD246" s="94">
        <v>40</v>
      </c>
      <c r="AE246" s="93">
        <v>40</v>
      </c>
      <c r="AF246" s="93">
        <v>40</v>
      </c>
      <c r="AG246" s="93">
        <v>40</v>
      </c>
      <c r="AH246" s="93">
        <v>40</v>
      </c>
      <c r="AI246" s="93">
        <v>40</v>
      </c>
      <c r="AJ246" s="154">
        <v>0</v>
      </c>
    </row>
    <row r="247" ht="18" customHeight="1" outlineLevel="1" spans="2:36">
      <c r="B247" s="161"/>
      <c r="C247" s="91" t="s">
        <v>187</v>
      </c>
      <c r="D247" s="92"/>
      <c r="E247" s="92"/>
      <c r="F247" s="93">
        <f t="shared" ref="F247:AJ247" si="146">F245*F246</f>
        <v>0</v>
      </c>
      <c r="G247" s="93">
        <f t="shared" si="146"/>
        <v>0</v>
      </c>
      <c r="H247" s="94">
        <f t="shared" si="146"/>
        <v>40</v>
      </c>
      <c r="I247" s="94">
        <f t="shared" si="146"/>
        <v>40</v>
      </c>
      <c r="J247" s="93">
        <f t="shared" si="146"/>
        <v>40</v>
      </c>
      <c r="K247" s="93">
        <f t="shared" si="146"/>
        <v>0</v>
      </c>
      <c r="L247" s="93">
        <f t="shared" si="146"/>
        <v>0</v>
      </c>
      <c r="M247" s="93">
        <f t="shared" si="146"/>
        <v>0</v>
      </c>
      <c r="N247" s="93">
        <v>0</v>
      </c>
      <c r="O247" s="114">
        <f t="shared" si="146"/>
        <v>0</v>
      </c>
      <c r="P247" s="114">
        <f t="shared" si="146"/>
        <v>0</v>
      </c>
      <c r="Q247" s="114">
        <f t="shared" si="146"/>
        <v>0</v>
      </c>
      <c r="R247" s="93">
        <f t="shared" si="146"/>
        <v>0</v>
      </c>
      <c r="S247" s="93">
        <f t="shared" si="146"/>
        <v>0</v>
      </c>
      <c r="T247" s="93">
        <f t="shared" si="146"/>
        <v>0</v>
      </c>
      <c r="U247" s="93">
        <f t="shared" si="146"/>
        <v>0</v>
      </c>
      <c r="V247" s="94">
        <f t="shared" si="146"/>
        <v>0</v>
      </c>
      <c r="W247" s="96">
        <f t="shared" si="146"/>
        <v>0</v>
      </c>
      <c r="X247" s="93">
        <f t="shared" si="146"/>
        <v>0</v>
      </c>
      <c r="Y247" s="93">
        <f t="shared" si="146"/>
        <v>0</v>
      </c>
      <c r="Z247" s="93">
        <f t="shared" si="146"/>
        <v>0</v>
      </c>
      <c r="AA247" s="93">
        <f t="shared" si="146"/>
        <v>0</v>
      </c>
      <c r="AB247" s="93">
        <f t="shared" si="146"/>
        <v>0</v>
      </c>
      <c r="AC247" s="94">
        <f t="shared" si="146"/>
        <v>0</v>
      </c>
      <c r="AD247" s="94">
        <f t="shared" si="146"/>
        <v>0</v>
      </c>
      <c r="AE247" s="93">
        <f t="shared" si="146"/>
        <v>0</v>
      </c>
      <c r="AF247" s="93">
        <f t="shared" si="146"/>
        <v>0</v>
      </c>
      <c r="AG247" s="93">
        <f t="shared" si="146"/>
        <v>0</v>
      </c>
      <c r="AH247" s="93">
        <f t="shared" si="146"/>
        <v>0</v>
      </c>
      <c r="AI247" s="93">
        <f t="shared" si="146"/>
        <v>0</v>
      </c>
      <c r="AJ247" s="154">
        <f t="shared" si="146"/>
        <v>0</v>
      </c>
    </row>
    <row r="248" ht="18" customHeight="1" outlineLevel="1" spans="2:36">
      <c r="B248" s="161"/>
      <c r="C248" s="91" t="s">
        <v>188</v>
      </c>
      <c r="D248" s="92"/>
      <c r="E248" s="92"/>
      <c r="F248" s="93"/>
      <c r="G248" s="93"/>
      <c r="H248" s="94">
        <v>2</v>
      </c>
      <c r="I248" s="94">
        <v>4</v>
      </c>
      <c r="J248" s="93">
        <v>1</v>
      </c>
      <c r="K248" s="93">
        <v>11</v>
      </c>
      <c r="L248" s="93"/>
      <c r="M248" s="93">
        <v>11</v>
      </c>
      <c r="N248" s="93">
        <v>11</v>
      </c>
      <c r="O248" s="114">
        <v>11</v>
      </c>
      <c r="P248" s="114">
        <v>11</v>
      </c>
      <c r="Q248" s="114"/>
      <c r="R248" s="93">
        <v>8</v>
      </c>
      <c r="S248" s="93">
        <v>11.5</v>
      </c>
      <c r="T248" s="93">
        <v>11.5</v>
      </c>
      <c r="U248" s="93">
        <v>11.5</v>
      </c>
      <c r="V248" s="94">
        <v>11.5</v>
      </c>
      <c r="W248" s="96">
        <v>8</v>
      </c>
      <c r="X248" s="93">
        <v>11.5</v>
      </c>
      <c r="Y248" s="93">
        <v>11.5</v>
      </c>
      <c r="Z248" s="93">
        <v>11.5</v>
      </c>
      <c r="AA248" s="93">
        <v>11.5</v>
      </c>
      <c r="AB248" s="93">
        <v>11.5</v>
      </c>
      <c r="AC248" s="94">
        <v>11.5</v>
      </c>
      <c r="AD248" s="94">
        <v>8</v>
      </c>
      <c r="AE248" s="93">
        <v>11.5</v>
      </c>
      <c r="AF248" s="93">
        <v>11.5</v>
      </c>
      <c r="AG248" s="93">
        <v>11.5</v>
      </c>
      <c r="AH248" s="93">
        <v>11.5</v>
      </c>
      <c r="AI248" s="93">
        <v>11.5</v>
      </c>
      <c r="AJ248" s="154"/>
    </row>
    <row r="249" ht="18" customHeight="1" outlineLevel="1" spans="2:36">
      <c r="B249" s="161"/>
      <c r="C249" s="91" t="s">
        <v>189</v>
      </c>
      <c r="D249" s="92"/>
      <c r="E249" s="92"/>
      <c r="F249" s="93">
        <v>0</v>
      </c>
      <c r="G249" s="93">
        <v>0</v>
      </c>
      <c r="H249" s="94">
        <v>635</v>
      </c>
      <c r="I249" s="94">
        <v>635</v>
      </c>
      <c r="J249" s="93">
        <v>635</v>
      </c>
      <c r="K249" s="93">
        <v>635</v>
      </c>
      <c r="L249" s="93">
        <v>0</v>
      </c>
      <c r="M249" s="93">
        <v>635</v>
      </c>
      <c r="N249" s="93">
        <v>635</v>
      </c>
      <c r="O249" s="114">
        <v>635</v>
      </c>
      <c r="P249" s="114">
        <v>635</v>
      </c>
      <c r="Q249" s="114">
        <v>0</v>
      </c>
      <c r="R249" s="93">
        <v>635</v>
      </c>
      <c r="S249" s="93">
        <v>635</v>
      </c>
      <c r="T249" s="93">
        <v>635</v>
      </c>
      <c r="U249" s="93">
        <v>635</v>
      </c>
      <c r="V249" s="94">
        <v>635</v>
      </c>
      <c r="W249" s="96">
        <v>635</v>
      </c>
      <c r="X249" s="93">
        <v>635</v>
      </c>
      <c r="Y249" s="93">
        <v>635</v>
      </c>
      <c r="Z249" s="93">
        <v>635</v>
      </c>
      <c r="AA249" s="93">
        <v>635</v>
      </c>
      <c r="AB249" s="93">
        <v>635</v>
      </c>
      <c r="AC249" s="94">
        <v>635</v>
      </c>
      <c r="AD249" s="94">
        <v>635</v>
      </c>
      <c r="AE249" s="93">
        <v>635</v>
      </c>
      <c r="AF249" s="93">
        <v>635</v>
      </c>
      <c r="AG249" s="93">
        <v>635</v>
      </c>
      <c r="AH249" s="93">
        <v>635</v>
      </c>
      <c r="AI249" s="93">
        <v>635</v>
      </c>
      <c r="AJ249" s="154">
        <v>0</v>
      </c>
    </row>
    <row r="250" ht="18" customHeight="1" outlineLevel="1" spans="2:36">
      <c r="B250" s="161"/>
      <c r="C250" s="91" t="s">
        <v>190</v>
      </c>
      <c r="D250" s="92">
        <v>0</v>
      </c>
      <c r="E250" s="92">
        <f>SUM(F250:AI250)</f>
        <v>4445</v>
      </c>
      <c r="F250" s="95">
        <f t="shared" ref="F250:AJ250" si="147">F245*F248*F249</f>
        <v>0</v>
      </c>
      <c r="G250" s="95">
        <f t="shared" si="147"/>
        <v>0</v>
      </c>
      <c r="H250" s="96">
        <f t="shared" si="147"/>
        <v>1270</v>
      </c>
      <c r="I250" s="96">
        <f t="shared" si="147"/>
        <v>2540</v>
      </c>
      <c r="J250" s="95">
        <f t="shared" si="147"/>
        <v>635</v>
      </c>
      <c r="K250" s="95">
        <f t="shared" si="147"/>
        <v>0</v>
      </c>
      <c r="L250" s="95">
        <f t="shared" si="147"/>
        <v>0</v>
      </c>
      <c r="M250" s="95">
        <f t="shared" si="147"/>
        <v>0</v>
      </c>
      <c r="N250" s="95">
        <v>0</v>
      </c>
      <c r="O250" s="115">
        <f t="shared" si="147"/>
        <v>0</v>
      </c>
      <c r="P250" s="115">
        <f t="shared" si="147"/>
        <v>0</v>
      </c>
      <c r="Q250" s="115">
        <f t="shared" si="147"/>
        <v>0</v>
      </c>
      <c r="R250" s="95">
        <f>R245*R248*R249*0.6</f>
        <v>0</v>
      </c>
      <c r="S250" s="95">
        <f>S245*S248*S249*0.7</f>
        <v>0</v>
      </c>
      <c r="T250" s="95">
        <f>T245*T248*T249*0.85</f>
        <v>0</v>
      </c>
      <c r="U250" s="95">
        <f>U245*U248*U249*0.95</f>
        <v>0</v>
      </c>
      <c r="V250" s="96">
        <f t="shared" si="147"/>
        <v>0</v>
      </c>
      <c r="W250" s="123">
        <f t="shared" si="147"/>
        <v>0</v>
      </c>
      <c r="X250" s="128">
        <f t="shared" si="147"/>
        <v>0</v>
      </c>
      <c r="Y250" s="128">
        <f t="shared" si="147"/>
        <v>0</v>
      </c>
      <c r="Z250" s="128">
        <f t="shared" si="147"/>
        <v>0</v>
      </c>
      <c r="AA250" s="128">
        <f t="shared" si="147"/>
        <v>0</v>
      </c>
      <c r="AB250" s="128">
        <f t="shared" si="147"/>
        <v>0</v>
      </c>
      <c r="AC250" s="96">
        <f t="shared" si="147"/>
        <v>0</v>
      </c>
      <c r="AD250" s="96">
        <f t="shared" si="147"/>
        <v>0</v>
      </c>
      <c r="AE250" s="95">
        <f t="shared" si="147"/>
        <v>0</v>
      </c>
      <c r="AF250" s="139">
        <f t="shared" si="147"/>
        <v>0</v>
      </c>
      <c r="AG250" s="95">
        <f t="shared" si="147"/>
        <v>0</v>
      </c>
      <c r="AH250" s="139">
        <f t="shared" si="147"/>
        <v>0</v>
      </c>
      <c r="AI250" s="139">
        <f t="shared" si="147"/>
        <v>0</v>
      </c>
      <c r="AJ250" s="154">
        <f t="shared" si="147"/>
        <v>0</v>
      </c>
    </row>
    <row r="251" ht="18" customHeight="1" outlineLevel="1" spans="2:36">
      <c r="B251" s="161"/>
      <c r="C251" s="91" t="s">
        <v>191</v>
      </c>
      <c r="D251" s="92"/>
      <c r="E251" s="108">
        <f>SUM(F251:AJ251)</f>
        <v>4015</v>
      </c>
      <c r="F251" s="98"/>
      <c r="G251" s="99"/>
      <c r="H251" s="100">
        <v>800</v>
      </c>
      <c r="I251" s="100">
        <v>2815</v>
      </c>
      <c r="J251" s="99">
        <v>400</v>
      </c>
      <c r="K251" s="99"/>
      <c r="L251" s="95"/>
      <c r="M251" s="95"/>
      <c r="N251" s="95"/>
      <c r="O251" s="115"/>
      <c r="P251" s="115"/>
      <c r="Q251" s="115"/>
      <c r="R251" s="95"/>
      <c r="S251" s="95"/>
      <c r="T251" s="95"/>
      <c r="U251" s="95"/>
      <c r="V251" s="96"/>
      <c r="W251" s="96"/>
      <c r="X251" s="95"/>
      <c r="Y251" s="128"/>
      <c r="Z251" s="95"/>
      <c r="AA251" s="95"/>
      <c r="AB251" s="95"/>
      <c r="AC251" s="96"/>
      <c r="AD251" s="96"/>
      <c r="AE251" s="95"/>
      <c r="AF251" s="139"/>
      <c r="AG251" s="95"/>
      <c r="AH251" s="139"/>
      <c r="AI251" s="139"/>
      <c r="AJ251" s="154"/>
    </row>
    <row r="252" ht="18" customHeight="1" outlineLevel="1" spans="2:36">
      <c r="B252" s="161"/>
      <c r="C252" s="91" t="s">
        <v>192</v>
      </c>
      <c r="D252" s="92"/>
      <c r="E252" s="92"/>
      <c r="F252" s="95">
        <f t="shared" ref="F252:O252" si="148">F251-F250</f>
        <v>0</v>
      </c>
      <c r="G252" s="95">
        <f t="shared" si="148"/>
        <v>0</v>
      </c>
      <c r="H252" s="96">
        <f t="shared" si="148"/>
        <v>-470</v>
      </c>
      <c r="I252" s="96">
        <f t="shared" si="148"/>
        <v>275</v>
      </c>
      <c r="J252" s="95">
        <f t="shared" si="148"/>
        <v>-235</v>
      </c>
      <c r="K252" s="95">
        <f t="shared" si="148"/>
        <v>0</v>
      </c>
      <c r="L252" s="95">
        <f t="shared" si="148"/>
        <v>0</v>
      </c>
      <c r="M252" s="95">
        <f t="shared" si="148"/>
        <v>0</v>
      </c>
      <c r="N252" s="95">
        <v>0</v>
      </c>
      <c r="O252" s="115">
        <f t="shared" si="148"/>
        <v>0</v>
      </c>
      <c r="P252" s="115"/>
      <c r="Q252" s="115">
        <f t="shared" ref="Q252:AJ252" si="149">Q251-Q250</f>
        <v>0</v>
      </c>
      <c r="R252" s="95">
        <f t="shared" si="149"/>
        <v>0</v>
      </c>
      <c r="S252" s="95">
        <f t="shared" si="149"/>
        <v>0</v>
      </c>
      <c r="T252" s="95">
        <f t="shared" si="149"/>
        <v>0</v>
      </c>
      <c r="U252" s="95">
        <f t="shared" si="149"/>
        <v>0</v>
      </c>
      <c r="V252" s="96">
        <f t="shared" si="149"/>
        <v>0</v>
      </c>
      <c r="W252" s="123">
        <f t="shared" si="149"/>
        <v>0</v>
      </c>
      <c r="X252" s="128">
        <f t="shared" si="149"/>
        <v>0</v>
      </c>
      <c r="Y252" s="128">
        <f t="shared" si="149"/>
        <v>0</v>
      </c>
      <c r="Z252" s="128">
        <f t="shared" si="149"/>
        <v>0</v>
      </c>
      <c r="AA252" s="128">
        <f t="shared" si="149"/>
        <v>0</v>
      </c>
      <c r="AB252" s="128">
        <f t="shared" si="149"/>
        <v>0</v>
      </c>
      <c r="AC252" s="96">
        <f t="shared" si="149"/>
        <v>0</v>
      </c>
      <c r="AD252" s="96">
        <f t="shared" si="149"/>
        <v>0</v>
      </c>
      <c r="AE252" s="95">
        <f t="shared" si="149"/>
        <v>0</v>
      </c>
      <c r="AF252" s="139">
        <f t="shared" si="149"/>
        <v>0</v>
      </c>
      <c r="AG252" s="95">
        <f t="shared" si="149"/>
        <v>0</v>
      </c>
      <c r="AH252" s="139">
        <f t="shared" si="149"/>
        <v>0</v>
      </c>
      <c r="AI252" s="139">
        <f t="shared" si="149"/>
        <v>0</v>
      </c>
      <c r="AJ252" s="154">
        <f t="shared" si="149"/>
        <v>0</v>
      </c>
    </row>
    <row r="253" ht="18" customHeight="1" outlineLevel="1" spans="2:36">
      <c r="B253" s="161"/>
      <c r="C253" s="91" t="s">
        <v>193</v>
      </c>
      <c r="D253" s="92"/>
      <c r="E253" s="92"/>
      <c r="F253" s="95">
        <f t="shared" ref="F253:O253" si="150">E253+F251</f>
        <v>0</v>
      </c>
      <c r="G253" s="95">
        <f t="shared" si="150"/>
        <v>0</v>
      </c>
      <c r="H253" s="96">
        <f t="shared" si="150"/>
        <v>800</v>
      </c>
      <c r="I253" s="96">
        <f t="shared" si="150"/>
        <v>3615</v>
      </c>
      <c r="J253" s="95">
        <f t="shared" si="150"/>
        <v>4015</v>
      </c>
      <c r="K253" s="95">
        <f t="shared" si="150"/>
        <v>4015</v>
      </c>
      <c r="L253" s="95">
        <f t="shared" si="150"/>
        <v>4015</v>
      </c>
      <c r="M253" s="95">
        <f t="shared" si="150"/>
        <v>4015</v>
      </c>
      <c r="N253" s="95">
        <v>4015</v>
      </c>
      <c r="O253" s="115">
        <f t="shared" si="150"/>
        <v>4015</v>
      </c>
      <c r="P253" s="115"/>
      <c r="Q253" s="115">
        <f t="shared" ref="Q253:AJ253" si="151">P253+Q251</f>
        <v>0</v>
      </c>
      <c r="R253" s="95">
        <f t="shared" si="151"/>
        <v>0</v>
      </c>
      <c r="S253" s="95">
        <f t="shared" si="151"/>
        <v>0</v>
      </c>
      <c r="T253" s="95">
        <f t="shared" si="151"/>
        <v>0</v>
      </c>
      <c r="U253" s="95">
        <f t="shared" si="151"/>
        <v>0</v>
      </c>
      <c r="V253" s="96">
        <f t="shared" si="151"/>
        <v>0</v>
      </c>
      <c r="W253" s="123">
        <f t="shared" si="151"/>
        <v>0</v>
      </c>
      <c r="X253" s="128">
        <f t="shared" si="151"/>
        <v>0</v>
      </c>
      <c r="Y253" s="128">
        <f t="shared" si="151"/>
        <v>0</v>
      </c>
      <c r="Z253" s="128">
        <f t="shared" si="151"/>
        <v>0</v>
      </c>
      <c r="AA253" s="128">
        <f t="shared" si="151"/>
        <v>0</v>
      </c>
      <c r="AB253" s="128">
        <f t="shared" si="151"/>
        <v>0</v>
      </c>
      <c r="AC253" s="96">
        <f t="shared" si="151"/>
        <v>0</v>
      </c>
      <c r="AD253" s="96">
        <f t="shared" si="151"/>
        <v>0</v>
      </c>
      <c r="AE253" s="95">
        <f t="shared" si="151"/>
        <v>0</v>
      </c>
      <c r="AF253" s="139">
        <f t="shared" si="151"/>
        <v>0</v>
      </c>
      <c r="AG253" s="95">
        <f t="shared" si="151"/>
        <v>0</v>
      </c>
      <c r="AH253" s="139">
        <f t="shared" si="151"/>
        <v>0</v>
      </c>
      <c r="AI253" s="139">
        <f t="shared" si="151"/>
        <v>0</v>
      </c>
      <c r="AJ253" s="154">
        <f t="shared" si="151"/>
        <v>0</v>
      </c>
    </row>
    <row r="254" ht="18" customHeight="1" spans="2:36">
      <c r="B254" s="164"/>
      <c r="C254" s="102" t="s">
        <v>194</v>
      </c>
      <c r="D254" s="103"/>
      <c r="E254" s="103"/>
      <c r="F254" s="104" t="str">
        <f t="shared" ref="F254:O254" si="152">IF(F251&gt;0,F251/F250,"")</f>
        <v/>
      </c>
      <c r="G254" s="104" t="str">
        <f t="shared" si="152"/>
        <v/>
      </c>
      <c r="H254" s="105">
        <f t="shared" si="152"/>
        <v>0.62992125984252</v>
      </c>
      <c r="I254" s="105">
        <f t="shared" si="152"/>
        <v>1.10826771653543</v>
      </c>
      <c r="J254" s="104">
        <f t="shared" si="152"/>
        <v>0.62992125984252</v>
      </c>
      <c r="K254" s="104" t="str">
        <f t="shared" si="152"/>
        <v/>
      </c>
      <c r="L254" s="104" t="str">
        <f t="shared" si="152"/>
        <v/>
      </c>
      <c r="M254" s="104" t="str">
        <f t="shared" si="152"/>
        <v/>
      </c>
      <c r="N254" s="104" t="s">
        <v>195</v>
      </c>
      <c r="O254" s="116" t="str">
        <f t="shared" si="152"/>
        <v/>
      </c>
      <c r="P254" s="116"/>
      <c r="Q254" s="116" t="str">
        <f t="shared" ref="Q254:AJ254" si="153">IF(Q251&gt;0,Q251/Q250,"")</f>
        <v/>
      </c>
      <c r="R254" s="104" t="str">
        <f t="shared" si="153"/>
        <v/>
      </c>
      <c r="S254" s="104" t="str">
        <f t="shared" si="153"/>
        <v/>
      </c>
      <c r="T254" s="104" t="str">
        <f t="shared" si="153"/>
        <v/>
      </c>
      <c r="U254" s="104" t="str">
        <f t="shared" si="153"/>
        <v/>
      </c>
      <c r="V254" s="105" t="str">
        <f t="shared" si="153"/>
        <v/>
      </c>
      <c r="W254" s="105" t="str">
        <f t="shared" si="153"/>
        <v/>
      </c>
      <c r="X254" s="104" t="str">
        <f t="shared" si="153"/>
        <v/>
      </c>
      <c r="Y254" s="188" t="str">
        <f t="shared" si="153"/>
        <v/>
      </c>
      <c r="Z254" s="142" t="str">
        <f t="shared" si="153"/>
        <v/>
      </c>
      <c r="AA254" s="104" t="str">
        <f t="shared" si="153"/>
        <v/>
      </c>
      <c r="AB254" s="104" t="str">
        <f t="shared" si="153"/>
        <v/>
      </c>
      <c r="AC254" s="105" t="str">
        <f t="shared" si="153"/>
        <v/>
      </c>
      <c r="AD254" s="105" t="str">
        <f t="shared" si="153"/>
        <v/>
      </c>
      <c r="AE254" s="104" t="str">
        <f t="shared" si="153"/>
        <v/>
      </c>
      <c r="AF254" s="141" t="str">
        <f t="shared" si="153"/>
        <v/>
      </c>
      <c r="AG254" s="104" t="str">
        <f t="shared" si="153"/>
        <v/>
      </c>
      <c r="AH254" s="155" t="str">
        <f t="shared" si="153"/>
        <v/>
      </c>
      <c r="AI254" s="155" t="str">
        <f t="shared" si="153"/>
        <v/>
      </c>
      <c r="AJ254" s="156" t="str">
        <f t="shared" si="153"/>
        <v/>
      </c>
    </row>
    <row r="255" ht="18" customHeight="1" outlineLevel="1" spans="2:36">
      <c r="B255" s="160" t="s">
        <v>146</v>
      </c>
      <c r="C255" s="86" t="s">
        <v>185</v>
      </c>
      <c r="D255" s="87"/>
      <c r="E255" s="87"/>
      <c r="F255" s="88"/>
      <c r="G255" s="88"/>
      <c r="H255" s="89"/>
      <c r="I255" s="89"/>
      <c r="J255" s="88"/>
      <c r="K255" s="88">
        <v>1</v>
      </c>
      <c r="L255" s="88">
        <v>1</v>
      </c>
      <c r="M255" s="88">
        <v>1</v>
      </c>
      <c r="N255" s="88"/>
      <c r="O255" s="113">
        <v>0</v>
      </c>
      <c r="P255" s="113">
        <v>1</v>
      </c>
      <c r="Q255" s="113">
        <v>1</v>
      </c>
      <c r="R255" s="88">
        <v>1</v>
      </c>
      <c r="S255" s="88"/>
      <c r="T255" s="88"/>
      <c r="U255" s="88"/>
      <c r="V255" s="89"/>
      <c r="W255" s="126"/>
      <c r="X255" s="127">
        <v>1</v>
      </c>
      <c r="Y255" s="127">
        <v>1</v>
      </c>
      <c r="Z255" s="127">
        <v>1</v>
      </c>
      <c r="AA255" s="127">
        <v>1</v>
      </c>
      <c r="AB255" s="127">
        <v>1</v>
      </c>
      <c r="AC255" s="89">
        <v>1</v>
      </c>
      <c r="AD255" s="89">
        <v>1</v>
      </c>
      <c r="AE255" s="88">
        <v>2</v>
      </c>
      <c r="AF255" s="137">
        <v>2</v>
      </c>
      <c r="AG255" s="88">
        <v>2</v>
      </c>
      <c r="AH255" s="157"/>
      <c r="AI255" s="157"/>
      <c r="AJ255" s="158"/>
    </row>
    <row r="256" ht="18" customHeight="1" outlineLevel="1" spans="2:36">
      <c r="B256" s="161"/>
      <c r="C256" s="91" t="s">
        <v>186</v>
      </c>
      <c r="D256" s="92"/>
      <c r="E256" s="92"/>
      <c r="F256" s="93">
        <v>0</v>
      </c>
      <c r="G256" s="93">
        <v>46</v>
      </c>
      <c r="H256" s="94">
        <v>46</v>
      </c>
      <c r="I256" s="94">
        <v>40</v>
      </c>
      <c r="J256" s="93">
        <v>46</v>
      </c>
      <c r="K256" s="93">
        <v>46</v>
      </c>
      <c r="L256" s="93">
        <v>46</v>
      </c>
      <c r="M256" s="93">
        <v>46</v>
      </c>
      <c r="N256" s="93">
        <v>46</v>
      </c>
      <c r="O256" s="114">
        <v>46</v>
      </c>
      <c r="P256" s="114">
        <v>46</v>
      </c>
      <c r="Q256" s="114">
        <v>46</v>
      </c>
      <c r="R256" s="93">
        <v>46</v>
      </c>
      <c r="S256" s="93">
        <v>46</v>
      </c>
      <c r="T256" s="93">
        <v>46</v>
      </c>
      <c r="U256" s="93">
        <v>46</v>
      </c>
      <c r="V256" s="94">
        <v>40</v>
      </c>
      <c r="W256" s="96">
        <v>0</v>
      </c>
      <c r="X256" s="93">
        <v>40</v>
      </c>
      <c r="Y256" s="93">
        <v>40</v>
      </c>
      <c r="Z256" s="93">
        <v>40</v>
      </c>
      <c r="AA256" s="93">
        <v>40</v>
      </c>
      <c r="AB256" s="93">
        <v>40</v>
      </c>
      <c r="AC256" s="94">
        <v>40</v>
      </c>
      <c r="AD256" s="94">
        <v>40</v>
      </c>
      <c r="AE256" s="93">
        <v>40</v>
      </c>
      <c r="AF256" s="93">
        <v>40</v>
      </c>
      <c r="AG256" s="93">
        <v>40</v>
      </c>
      <c r="AH256" s="93">
        <v>40</v>
      </c>
      <c r="AI256" s="93">
        <v>40</v>
      </c>
      <c r="AJ256" s="154">
        <v>0</v>
      </c>
    </row>
    <row r="257" ht="18" customHeight="1" outlineLevel="1" spans="2:36">
      <c r="B257" s="161"/>
      <c r="C257" s="91" t="s">
        <v>187</v>
      </c>
      <c r="D257" s="92"/>
      <c r="E257" s="92"/>
      <c r="F257" s="93">
        <f t="shared" ref="F257:AJ257" si="154">F255*F256</f>
        <v>0</v>
      </c>
      <c r="G257" s="93">
        <f t="shared" si="154"/>
        <v>0</v>
      </c>
      <c r="H257" s="94">
        <f t="shared" si="154"/>
        <v>0</v>
      </c>
      <c r="I257" s="94">
        <f t="shared" si="154"/>
        <v>0</v>
      </c>
      <c r="J257" s="93">
        <f t="shared" si="154"/>
        <v>0</v>
      </c>
      <c r="K257" s="93">
        <f t="shared" si="154"/>
        <v>46</v>
      </c>
      <c r="L257" s="93">
        <f t="shared" si="154"/>
        <v>46</v>
      </c>
      <c r="M257" s="93">
        <f t="shared" si="154"/>
        <v>46</v>
      </c>
      <c r="N257" s="93">
        <v>0</v>
      </c>
      <c r="O257" s="114">
        <f t="shared" si="154"/>
        <v>0</v>
      </c>
      <c r="P257" s="114">
        <f t="shared" si="154"/>
        <v>46</v>
      </c>
      <c r="Q257" s="114">
        <f t="shared" si="154"/>
        <v>46</v>
      </c>
      <c r="R257" s="93">
        <f t="shared" si="154"/>
        <v>46</v>
      </c>
      <c r="S257" s="93">
        <f t="shared" si="154"/>
        <v>0</v>
      </c>
      <c r="T257" s="93">
        <f t="shared" si="154"/>
        <v>0</v>
      </c>
      <c r="U257" s="93">
        <f t="shared" si="154"/>
        <v>0</v>
      </c>
      <c r="V257" s="94">
        <f t="shared" si="154"/>
        <v>0</v>
      </c>
      <c r="W257" s="96">
        <f t="shared" si="154"/>
        <v>0</v>
      </c>
      <c r="X257" s="93">
        <f t="shared" si="154"/>
        <v>40</v>
      </c>
      <c r="Y257" s="93">
        <f t="shared" si="154"/>
        <v>40</v>
      </c>
      <c r="Z257" s="93">
        <f t="shared" si="154"/>
        <v>40</v>
      </c>
      <c r="AA257" s="93">
        <f t="shared" si="154"/>
        <v>40</v>
      </c>
      <c r="AB257" s="93">
        <f t="shared" si="154"/>
        <v>40</v>
      </c>
      <c r="AC257" s="94">
        <f t="shared" si="154"/>
        <v>40</v>
      </c>
      <c r="AD257" s="94">
        <f t="shared" si="154"/>
        <v>40</v>
      </c>
      <c r="AE257" s="93">
        <f t="shared" si="154"/>
        <v>80</v>
      </c>
      <c r="AF257" s="93">
        <f t="shared" si="154"/>
        <v>80</v>
      </c>
      <c r="AG257" s="93">
        <f t="shared" si="154"/>
        <v>80</v>
      </c>
      <c r="AH257" s="93">
        <f t="shared" si="154"/>
        <v>0</v>
      </c>
      <c r="AI257" s="93">
        <f t="shared" si="154"/>
        <v>0</v>
      </c>
      <c r="AJ257" s="154">
        <f t="shared" si="154"/>
        <v>0</v>
      </c>
    </row>
    <row r="258" ht="18" customHeight="1" outlineLevel="1" spans="2:36">
      <c r="B258" s="161"/>
      <c r="C258" s="91" t="s">
        <v>188</v>
      </c>
      <c r="D258" s="92"/>
      <c r="E258" s="92"/>
      <c r="F258" s="93"/>
      <c r="G258" s="93">
        <v>6</v>
      </c>
      <c r="H258" s="94">
        <v>8</v>
      </c>
      <c r="I258" s="94">
        <v>11</v>
      </c>
      <c r="J258" s="93">
        <v>8</v>
      </c>
      <c r="K258" s="93">
        <v>6</v>
      </c>
      <c r="L258" s="93">
        <v>11.5</v>
      </c>
      <c r="M258" s="93">
        <v>8</v>
      </c>
      <c r="N258" s="93">
        <v>8</v>
      </c>
      <c r="O258" s="114">
        <v>11.5</v>
      </c>
      <c r="P258" s="114">
        <v>8</v>
      </c>
      <c r="Q258" s="114">
        <v>8</v>
      </c>
      <c r="R258" s="93">
        <v>8</v>
      </c>
      <c r="S258" s="93">
        <v>11.5</v>
      </c>
      <c r="T258" s="93">
        <v>11.5</v>
      </c>
      <c r="U258" s="93">
        <v>11.5</v>
      </c>
      <c r="V258" s="94">
        <v>11.5</v>
      </c>
      <c r="W258" s="96"/>
      <c r="X258" s="93">
        <v>8</v>
      </c>
      <c r="Y258" s="93">
        <v>11.5</v>
      </c>
      <c r="Z258" s="93">
        <v>11.5</v>
      </c>
      <c r="AA258" s="93">
        <v>11.5</v>
      </c>
      <c r="AB258" s="93">
        <v>11.5</v>
      </c>
      <c r="AC258" s="94">
        <v>11.5</v>
      </c>
      <c r="AD258" s="94">
        <v>11.5</v>
      </c>
      <c r="AE258" s="93">
        <v>11.5</v>
      </c>
      <c r="AF258" s="93">
        <v>11.5</v>
      </c>
      <c r="AG258" s="93">
        <v>11.5</v>
      </c>
      <c r="AH258" s="93">
        <v>11.5</v>
      </c>
      <c r="AI258" s="93">
        <v>11.5</v>
      </c>
      <c r="AJ258" s="154"/>
    </row>
    <row r="259" ht="18" customHeight="1" outlineLevel="1" spans="2:36">
      <c r="B259" s="161"/>
      <c r="C259" s="91" t="s">
        <v>189</v>
      </c>
      <c r="D259" s="92"/>
      <c r="E259" s="92"/>
      <c r="F259" s="93">
        <v>0</v>
      </c>
      <c r="G259" s="93">
        <v>680</v>
      </c>
      <c r="H259" s="94">
        <v>680</v>
      </c>
      <c r="I259" s="94">
        <v>635</v>
      </c>
      <c r="J259" s="93">
        <v>680</v>
      </c>
      <c r="K259" s="93">
        <v>680</v>
      </c>
      <c r="L259" s="93">
        <v>680</v>
      </c>
      <c r="M259" s="93">
        <v>680</v>
      </c>
      <c r="N259" s="93">
        <v>680</v>
      </c>
      <c r="O259" s="114">
        <v>635</v>
      </c>
      <c r="P259" s="114">
        <v>635</v>
      </c>
      <c r="Q259" s="114">
        <v>680</v>
      </c>
      <c r="R259" s="93">
        <v>680</v>
      </c>
      <c r="S259" s="93">
        <v>680</v>
      </c>
      <c r="T259" s="93">
        <v>680</v>
      </c>
      <c r="U259" s="93">
        <v>680</v>
      </c>
      <c r="V259" s="94">
        <v>680</v>
      </c>
      <c r="W259" s="96">
        <v>0</v>
      </c>
      <c r="X259" s="93">
        <v>680</v>
      </c>
      <c r="Y259" s="93">
        <v>680</v>
      </c>
      <c r="Z259" s="93">
        <v>680</v>
      </c>
      <c r="AA259" s="93">
        <v>680</v>
      </c>
      <c r="AB259" s="93">
        <v>680</v>
      </c>
      <c r="AC259" s="94">
        <v>635</v>
      </c>
      <c r="AD259" s="94">
        <v>635</v>
      </c>
      <c r="AE259" s="93">
        <v>635</v>
      </c>
      <c r="AF259" s="93">
        <v>635</v>
      </c>
      <c r="AG259" s="93">
        <v>635</v>
      </c>
      <c r="AH259" s="93">
        <v>635</v>
      </c>
      <c r="AI259" s="93">
        <v>635</v>
      </c>
      <c r="AJ259" s="154">
        <v>0</v>
      </c>
    </row>
    <row r="260" ht="18" customHeight="1" outlineLevel="1" spans="2:36">
      <c r="B260" s="161"/>
      <c r="C260" s="91" t="s">
        <v>190</v>
      </c>
      <c r="D260" s="92">
        <v>100000</v>
      </c>
      <c r="E260" s="92">
        <f>SUM(F260:AI260)</f>
        <v>112433.5</v>
      </c>
      <c r="F260" s="95">
        <f t="shared" ref="F260:V260" si="155">F255*F258*F259</f>
        <v>0</v>
      </c>
      <c r="G260" s="95">
        <f>G255*G258*G259*0.45</f>
        <v>0</v>
      </c>
      <c r="H260" s="96">
        <f>H255*H258*H259*0.55</f>
        <v>0</v>
      </c>
      <c r="I260" s="96">
        <f t="shared" si="155"/>
        <v>0</v>
      </c>
      <c r="J260" s="95">
        <f>J255*J258*J259*0.45</f>
        <v>0</v>
      </c>
      <c r="K260" s="95">
        <f>K255*K258*K259*0.45</f>
        <v>1836</v>
      </c>
      <c r="L260" s="95">
        <f>L255*L258*L259*0.55</f>
        <v>4301</v>
      </c>
      <c r="M260" s="95">
        <f>M255*M258*M259*0.65</f>
        <v>3536</v>
      </c>
      <c r="N260" s="95">
        <v>0</v>
      </c>
      <c r="O260" s="115">
        <f t="shared" si="155"/>
        <v>0</v>
      </c>
      <c r="P260" s="115">
        <f>P255*P258*P259*0.85</f>
        <v>4318</v>
      </c>
      <c r="Q260" s="115">
        <f>Q255*Q258*Q259*0.95</f>
        <v>5168</v>
      </c>
      <c r="R260" s="95">
        <f t="shared" si="155"/>
        <v>5440</v>
      </c>
      <c r="S260" s="95">
        <f t="shared" si="155"/>
        <v>0</v>
      </c>
      <c r="T260" s="95">
        <f t="shared" si="155"/>
        <v>0</v>
      </c>
      <c r="U260" s="95">
        <f t="shared" si="155"/>
        <v>0</v>
      </c>
      <c r="V260" s="96">
        <f t="shared" si="155"/>
        <v>0</v>
      </c>
      <c r="W260" s="123">
        <f>W255*W258*W259*0.35</f>
        <v>0</v>
      </c>
      <c r="X260" s="95">
        <f>X255*X258*X259*0.75</f>
        <v>4080</v>
      </c>
      <c r="Y260" s="95">
        <f>Y255*Y258*Y259*0.85</f>
        <v>6647</v>
      </c>
      <c r="Z260" s="95">
        <f>Z255*Z258*Z259*0.95</f>
        <v>7429</v>
      </c>
      <c r="AA260" s="95">
        <f t="shared" ref="AA260:AJ260" si="156">AA255*AA258*AA259</f>
        <v>7820</v>
      </c>
      <c r="AB260" s="95">
        <f t="shared" si="156"/>
        <v>7820</v>
      </c>
      <c r="AC260" s="96">
        <f t="shared" si="156"/>
        <v>7302.5</v>
      </c>
      <c r="AD260" s="96">
        <f t="shared" si="156"/>
        <v>7302.5</v>
      </c>
      <c r="AE260" s="95">
        <f>AE255*AE258*AE259*0.85</f>
        <v>12414.25</v>
      </c>
      <c r="AF260" s="95">
        <f>AF255*AF258*AF259*0.9</f>
        <v>13144.5</v>
      </c>
      <c r="AG260" s="95">
        <f>AG255*AG258*AG259*0.95</f>
        <v>13874.75</v>
      </c>
      <c r="AH260" s="95">
        <f t="shared" si="156"/>
        <v>0</v>
      </c>
      <c r="AI260" s="95">
        <f t="shared" si="156"/>
        <v>0</v>
      </c>
      <c r="AJ260" s="154">
        <f t="shared" si="156"/>
        <v>0</v>
      </c>
    </row>
    <row r="261" ht="18" customHeight="1" outlineLevel="1" spans="2:36">
      <c r="B261" s="161"/>
      <c r="C261" s="91" t="s">
        <v>191</v>
      </c>
      <c r="D261" s="92"/>
      <c r="E261" s="108">
        <f>SUM(F261:AJ261)</f>
        <v>96632</v>
      </c>
      <c r="F261" s="98"/>
      <c r="G261" s="99"/>
      <c r="H261" s="100"/>
      <c r="I261" s="100"/>
      <c r="J261" s="99"/>
      <c r="K261" s="99">
        <v>2380</v>
      </c>
      <c r="L261" s="95">
        <v>3228</v>
      </c>
      <c r="M261" s="95">
        <v>2580</v>
      </c>
      <c r="N261" s="95"/>
      <c r="O261" s="115"/>
      <c r="P261" s="115">
        <v>3718</v>
      </c>
      <c r="Q261" s="115"/>
      <c r="R261" s="95">
        <v>5432</v>
      </c>
      <c r="S261" s="95"/>
      <c r="T261" s="95"/>
      <c r="U261" s="95"/>
      <c r="V261" s="96"/>
      <c r="W261" s="96"/>
      <c r="X261" s="95">
        <v>4500</v>
      </c>
      <c r="Y261" s="128">
        <v>5750</v>
      </c>
      <c r="Z261" s="95">
        <v>6936</v>
      </c>
      <c r="AA261" s="95">
        <v>7782</v>
      </c>
      <c r="AB261" s="95">
        <v>8160</v>
      </c>
      <c r="AC261" s="96">
        <v>8160</v>
      </c>
      <c r="AD261" s="96">
        <v>8166</v>
      </c>
      <c r="AE261" s="95">
        <v>10860</v>
      </c>
      <c r="AF261" s="139">
        <v>10820</v>
      </c>
      <c r="AG261" s="95">
        <v>8160</v>
      </c>
      <c r="AH261" s="139"/>
      <c r="AI261" s="139"/>
      <c r="AJ261" s="154"/>
    </row>
    <row r="262" ht="18" customHeight="1" outlineLevel="1" spans="2:36">
      <c r="B262" s="161"/>
      <c r="C262" s="91" t="s">
        <v>192</v>
      </c>
      <c r="D262" s="92"/>
      <c r="E262" s="92"/>
      <c r="F262" s="95">
        <f t="shared" ref="F262:H262" si="157">F261-F260</f>
        <v>0</v>
      </c>
      <c r="G262" s="95">
        <f t="shared" si="157"/>
        <v>0</v>
      </c>
      <c r="H262" s="96">
        <f t="shared" si="157"/>
        <v>0</v>
      </c>
      <c r="I262" s="96"/>
      <c r="J262" s="95">
        <f t="shared" ref="J262:AJ262" si="158">J261-J260</f>
        <v>0</v>
      </c>
      <c r="K262" s="95">
        <f t="shared" si="158"/>
        <v>544</v>
      </c>
      <c r="L262" s="129">
        <f t="shared" si="158"/>
        <v>-1073</v>
      </c>
      <c r="M262" s="95">
        <f t="shared" si="158"/>
        <v>-956</v>
      </c>
      <c r="N262" s="95">
        <v>0</v>
      </c>
      <c r="O262" s="115">
        <f t="shared" si="158"/>
        <v>0</v>
      </c>
      <c r="P262" s="115">
        <f t="shared" si="158"/>
        <v>-600</v>
      </c>
      <c r="Q262" s="115">
        <f t="shared" si="158"/>
        <v>-5168</v>
      </c>
      <c r="R262" s="95">
        <f t="shared" si="158"/>
        <v>-8</v>
      </c>
      <c r="S262" s="95">
        <f t="shared" si="158"/>
        <v>0</v>
      </c>
      <c r="T262" s="95">
        <f t="shared" si="158"/>
        <v>0</v>
      </c>
      <c r="U262" s="95">
        <f t="shared" si="158"/>
        <v>0</v>
      </c>
      <c r="V262" s="96">
        <f t="shared" si="158"/>
        <v>0</v>
      </c>
      <c r="W262" s="123">
        <f t="shared" si="158"/>
        <v>0</v>
      </c>
      <c r="X262" s="128">
        <f t="shared" si="158"/>
        <v>420</v>
      </c>
      <c r="Y262" s="128">
        <f t="shared" si="158"/>
        <v>-897</v>
      </c>
      <c r="Z262" s="128">
        <f t="shared" si="158"/>
        <v>-493</v>
      </c>
      <c r="AA262" s="128">
        <f t="shared" si="158"/>
        <v>-38</v>
      </c>
      <c r="AB262" s="128">
        <f t="shared" si="158"/>
        <v>340</v>
      </c>
      <c r="AC262" s="96">
        <f t="shared" si="158"/>
        <v>857.5</v>
      </c>
      <c r="AD262" s="96">
        <f t="shared" si="158"/>
        <v>863.5</v>
      </c>
      <c r="AE262" s="95">
        <f t="shared" si="158"/>
        <v>-1554.25</v>
      </c>
      <c r="AF262" s="139">
        <f t="shared" si="158"/>
        <v>-2324.5</v>
      </c>
      <c r="AG262" s="95">
        <f t="shared" si="158"/>
        <v>-5714.75</v>
      </c>
      <c r="AH262" s="139">
        <f t="shared" si="158"/>
        <v>0</v>
      </c>
      <c r="AI262" s="139">
        <f t="shared" si="158"/>
        <v>0</v>
      </c>
      <c r="AJ262" s="154">
        <f t="shared" si="158"/>
        <v>0</v>
      </c>
    </row>
    <row r="263" ht="18" customHeight="1" outlineLevel="1" spans="2:36">
      <c r="B263" s="161"/>
      <c r="C263" s="91" t="s">
        <v>193</v>
      </c>
      <c r="D263" s="92"/>
      <c r="E263" s="92"/>
      <c r="F263" s="95">
        <f t="shared" ref="F263:H263" si="159">E263+F261</f>
        <v>0</v>
      </c>
      <c r="G263" s="95">
        <f t="shared" si="159"/>
        <v>0</v>
      </c>
      <c r="H263" s="96">
        <f t="shared" si="159"/>
        <v>0</v>
      </c>
      <c r="I263" s="96"/>
      <c r="J263" s="95">
        <f t="shared" ref="J263:AJ263" si="160">I263+J261</f>
        <v>0</v>
      </c>
      <c r="K263" s="95">
        <f t="shared" si="160"/>
        <v>2380</v>
      </c>
      <c r="L263" s="95">
        <f t="shared" si="160"/>
        <v>5608</v>
      </c>
      <c r="M263" s="95">
        <f t="shared" si="160"/>
        <v>8188</v>
      </c>
      <c r="N263" s="95">
        <v>8188</v>
      </c>
      <c r="O263" s="115">
        <f t="shared" si="160"/>
        <v>8188</v>
      </c>
      <c r="P263" s="115">
        <f t="shared" si="160"/>
        <v>11906</v>
      </c>
      <c r="Q263" s="115">
        <f t="shared" si="160"/>
        <v>11906</v>
      </c>
      <c r="R263" s="95">
        <f t="shared" si="160"/>
        <v>17338</v>
      </c>
      <c r="S263" s="95">
        <f t="shared" si="160"/>
        <v>17338</v>
      </c>
      <c r="T263" s="95">
        <f t="shared" si="160"/>
        <v>17338</v>
      </c>
      <c r="U263" s="95">
        <f t="shared" si="160"/>
        <v>17338</v>
      </c>
      <c r="V263" s="96">
        <f t="shared" si="160"/>
        <v>17338</v>
      </c>
      <c r="W263" s="123">
        <f t="shared" si="160"/>
        <v>17338</v>
      </c>
      <c r="X263" s="128">
        <f t="shared" si="160"/>
        <v>21838</v>
      </c>
      <c r="Y263" s="128">
        <f t="shared" si="160"/>
        <v>27588</v>
      </c>
      <c r="Z263" s="128">
        <f t="shared" si="160"/>
        <v>34524</v>
      </c>
      <c r="AA263" s="128">
        <f t="shared" si="160"/>
        <v>42306</v>
      </c>
      <c r="AB263" s="128">
        <f t="shared" si="160"/>
        <v>50466</v>
      </c>
      <c r="AC263" s="96">
        <f t="shared" si="160"/>
        <v>58626</v>
      </c>
      <c r="AD263" s="96">
        <f t="shared" si="160"/>
        <v>66792</v>
      </c>
      <c r="AE263" s="95">
        <f t="shared" si="160"/>
        <v>77652</v>
      </c>
      <c r="AF263" s="139">
        <f t="shared" si="160"/>
        <v>88472</v>
      </c>
      <c r="AG263" s="95">
        <f t="shared" si="160"/>
        <v>96632</v>
      </c>
      <c r="AH263" s="139">
        <f t="shared" si="160"/>
        <v>96632</v>
      </c>
      <c r="AI263" s="139">
        <f t="shared" si="160"/>
        <v>96632</v>
      </c>
      <c r="AJ263" s="154">
        <f t="shared" si="160"/>
        <v>96632</v>
      </c>
    </row>
    <row r="264" ht="18" customHeight="1" spans="2:36">
      <c r="B264" s="164"/>
      <c r="C264" s="102" t="s">
        <v>194</v>
      </c>
      <c r="D264" s="103"/>
      <c r="E264" s="103"/>
      <c r="F264" s="104" t="str">
        <f t="shared" ref="F264:AJ264" si="161">IF(F261&gt;0,F261/F260,"")</f>
        <v/>
      </c>
      <c r="G264" s="104" t="str">
        <f t="shared" si="161"/>
        <v/>
      </c>
      <c r="H264" s="105" t="str">
        <f t="shared" si="161"/>
        <v/>
      </c>
      <c r="I264" s="105" t="str">
        <f t="shared" si="161"/>
        <v/>
      </c>
      <c r="J264" s="104" t="str">
        <f t="shared" si="161"/>
        <v/>
      </c>
      <c r="K264" s="104">
        <f t="shared" si="161"/>
        <v>1.2962962962963</v>
      </c>
      <c r="L264" s="104">
        <f t="shared" si="161"/>
        <v>0.750523134154848</v>
      </c>
      <c r="M264" s="104">
        <f t="shared" si="161"/>
        <v>0.729638009049774</v>
      </c>
      <c r="N264" s="104" t="s">
        <v>195</v>
      </c>
      <c r="O264" s="116" t="str">
        <f t="shared" si="161"/>
        <v/>
      </c>
      <c r="P264" s="105">
        <f t="shared" si="161"/>
        <v>0.861046780917091</v>
      </c>
      <c r="Q264" s="105" t="str">
        <f t="shared" si="161"/>
        <v/>
      </c>
      <c r="R264" s="104">
        <f t="shared" si="161"/>
        <v>0.998529411764706</v>
      </c>
      <c r="S264" s="104" t="str">
        <f t="shared" si="161"/>
        <v/>
      </c>
      <c r="T264" s="104" t="str">
        <f t="shared" si="161"/>
        <v/>
      </c>
      <c r="U264" s="104" t="str">
        <f t="shared" si="161"/>
        <v/>
      </c>
      <c r="V264" s="105" t="str">
        <f t="shared" si="161"/>
        <v/>
      </c>
      <c r="W264" s="105" t="str">
        <f t="shared" si="161"/>
        <v/>
      </c>
      <c r="X264" s="104">
        <f t="shared" si="161"/>
        <v>1.10294117647059</v>
      </c>
      <c r="Y264" s="104">
        <f t="shared" si="161"/>
        <v>0.865051903114187</v>
      </c>
      <c r="Z264" s="142">
        <f t="shared" si="161"/>
        <v>0.933638443935927</v>
      </c>
      <c r="AA264" s="104">
        <f t="shared" si="161"/>
        <v>0.995140664961637</v>
      </c>
      <c r="AB264" s="104">
        <f t="shared" si="161"/>
        <v>1.04347826086957</v>
      </c>
      <c r="AC264" s="105">
        <f t="shared" si="161"/>
        <v>1.1174255391989</v>
      </c>
      <c r="AD264" s="105">
        <f t="shared" si="161"/>
        <v>1.11824717562479</v>
      </c>
      <c r="AE264" s="104">
        <f t="shared" si="161"/>
        <v>0.87480113579153</v>
      </c>
      <c r="AF264" s="141">
        <f t="shared" si="161"/>
        <v>0.823157974818365</v>
      </c>
      <c r="AG264" s="104">
        <f t="shared" si="161"/>
        <v>0.588118704841529</v>
      </c>
      <c r="AH264" s="155" t="str">
        <f t="shared" si="161"/>
        <v/>
      </c>
      <c r="AI264" s="155" t="str">
        <f t="shared" si="161"/>
        <v/>
      </c>
      <c r="AJ264" s="156" t="str">
        <f t="shared" si="161"/>
        <v/>
      </c>
    </row>
    <row r="265" ht="18" customHeight="1" outlineLevel="1" spans="2:36">
      <c r="B265" s="160" t="s">
        <v>206</v>
      </c>
      <c r="C265" s="86" t="s">
        <v>185</v>
      </c>
      <c r="D265" s="87"/>
      <c r="E265" s="87"/>
      <c r="F265" s="88"/>
      <c r="G265" s="88"/>
      <c r="H265" s="89"/>
      <c r="I265" s="89"/>
      <c r="J265" s="88"/>
      <c r="K265" s="88"/>
      <c r="L265" s="88"/>
      <c r="M265" s="88"/>
      <c r="N265" s="88"/>
      <c r="O265" s="113"/>
      <c r="P265" s="113"/>
      <c r="Q265" s="113"/>
      <c r="R265" s="88"/>
      <c r="S265" s="88"/>
      <c r="T265" s="88"/>
      <c r="U265" s="88"/>
      <c r="V265" s="89"/>
      <c r="W265" s="126"/>
      <c r="X265" s="127"/>
      <c r="Y265" s="127"/>
      <c r="Z265" s="127"/>
      <c r="AA265" s="127"/>
      <c r="AB265" s="127"/>
      <c r="AC265" s="89"/>
      <c r="AD265" s="89"/>
      <c r="AE265" s="88"/>
      <c r="AF265" s="137"/>
      <c r="AG265" s="88"/>
      <c r="AH265" s="157"/>
      <c r="AI265" s="157"/>
      <c r="AJ265" s="158"/>
    </row>
    <row r="266" ht="18" customHeight="1" outlineLevel="1" spans="2:36">
      <c r="B266" s="161"/>
      <c r="C266" s="91" t="s">
        <v>186</v>
      </c>
      <c r="D266" s="92"/>
      <c r="E266" s="92"/>
      <c r="F266" s="93">
        <v>0</v>
      </c>
      <c r="G266" s="93">
        <v>0</v>
      </c>
      <c r="H266" s="94">
        <v>35</v>
      </c>
      <c r="I266" s="94">
        <v>0</v>
      </c>
      <c r="J266" s="93">
        <v>0</v>
      </c>
      <c r="K266" s="93">
        <v>0</v>
      </c>
      <c r="L266" s="93">
        <v>0</v>
      </c>
      <c r="M266" s="93">
        <v>0</v>
      </c>
      <c r="N266" s="93">
        <v>0</v>
      </c>
      <c r="O266" s="114">
        <v>0</v>
      </c>
      <c r="P266" s="114">
        <v>0</v>
      </c>
      <c r="Q266" s="114">
        <v>0</v>
      </c>
      <c r="R266" s="93">
        <v>0</v>
      </c>
      <c r="S266" s="93">
        <v>0</v>
      </c>
      <c r="T266" s="93">
        <v>0</v>
      </c>
      <c r="U266" s="93">
        <v>0</v>
      </c>
      <c r="V266" s="94">
        <v>0</v>
      </c>
      <c r="W266" s="96">
        <v>0</v>
      </c>
      <c r="X266" s="93">
        <v>0</v>
      </c>
      <c r="Y266" s="93">
        <v>0</v>
      </c>
      <c r="Z266" s="93">
        <v>0</v>
      </c>
      <c r="AA266" s="93">
        <v>0</v>
      </c>
      <c r="AB266" s="93">
        <v>0</v>
      </c>
      <c r="AC266" s="94">
        <v>0</v>
      </c>
      <c r="AD266" s="94">
        <v>0</v>
      </c>
      <c r="AE266" s="93">
        <v>0</v>
      </c>
      <c r="AF266" s="93">
        <v>0</v>
      </c>
      <c r="AG266" s="93">
        <v>0</v>
      </c>
      <c r="AH266" s="93">
        <v>0</v>
      </c>
      <c r="AI266" s="93">
        <v>0</v>
      </c>
      <c r="AJ266" s="154">
        <v>0</v>
      </c>
    </row>
    <row r="267" ht="18" customHeight="1" outlineLevel="1" spans="2:36">
      <c r="B267" s="161"/>
      <c r="C267" s="91" t="s">
        <v>187</v>
      </c>
      <c r="D267" s="92"/>
      <c r="E267" s="92"/>
      <c r="F267" s="93">
        <f>F265*F266</f>
        <v>0</v>
      </c>
      <c r="G267" s="93">
        <f t="shared" ref="G267:AJ267" si="162">G265*G266</f>
        <v>0</v>
      </c>
      <c r="H267" s="94">
        <f t="shared" si="162"/>
        <v>0</v>
      </c>
      <c r="I267" s="94">
        <f t="shared" si="162"/>
        <v>0</v>
      </c>
      <c r="J267" s="93">
        <f t="shared" si="162"/>
        <v>0</v>
      </c>
      <c r="K267" s="93">
        <f t="shared" si="162"/>
        <v>0</v>
      </c>
      <c r="L267" s="93">
        <f t="shared" si="162"/>
        <v>0</v>
      </c>
      <c r="M267" s="93">
        <f t="shared" si="162"/>
        <v>0</v>
      </c>
      <c r="N267" s="93">
        <v>0</v>
      </c>
      <c r="O267" s="94">
        <f t="shared" si="162"/>
        <v>0</v>
      </c>
      <c r="P267" s="94">
        <f t="shared" si="162"/>
        <v>0</v>
      </c>
      <c r="Q267" s="94">
        <f t="shared" si="162"/>
        <v>0</v>
      </c>
      <c r="R267" s="93">
        <f t="shared" si="162"/>
        <v>0</v>
      </c>
      <c r="S267" s="93">
        <f t="shared" si="162"/>
        <v>0</v>
      </c>
      <c r="T267" s="93">
        <f t="shared" si="162"/>
        <v>0</v>
      </c>
      <c r="U267" s="93">
        <f t="shared" si="162"/>
        <v>0</v>
      </c>
      <c r="V267" s="94">
        <f t="shared" si="162"/>
        <v>0</v>
      </c>
      <c r="W267" s="96">
        <f t="shared" si="162"/>
        <v>0</v>
      </c>
      <c r="X267" s="93">
        <f t="shared" si="162"/>
        <v>0</v>
      </c>
      <c r="Y267" s="93">
        <f t="shared" si="162"/>
        <v>0</v>
      </c>
      <c r="Z267" s="93">
        <f t="shared" si="162"/>
        <v>0</v>
      </c>
      <c r="AA267" s="93">
        <f t="shared" si="162"/>
        <v>0</v>
      </c>
      <c r="AB267" s="93">
        <f t="shared" si="162"/>
        <v>0</v>
      </c>
      <c r="AC267" s="94">
        <f t="shared" si="162"/>
        <v>0</v>
      </c>
      <c r="AD267" s="94">
        <f t="shared" si="162"/>
        <v>0</v>
      </c>
      <c r="AE267" s="93">
        <f t="shared" si="162"/>
        <v>0</v>
      </c>
      <c r="AF267" s="93">
        <f t="shared" si="162"/>
        <v>0</v>
      </c>
      <c r="AG267" s="93">
        <f t="shared" si="162"/>
        <v>0</v>
      </c>
      <c r="AH267" s="93">
        <f t="shared" si="162"/>
        <v>0</v>
      </c>
      <c r="AI267" s="93">
        <f t="shared" si="162"/>
        <v>0</v>
      </c>
      <c r="AJ267" s="154">
        <f t="shared" si="162"/>
        <v>0</v>
      </c>
    </row>
    <row r="268" ht="18" customHeight="1" outlineLevel="1" spans="2:36">
      <c r="B268" s="161"/>
      <c r="C268" s="91" t="s">
        <v>188</v>
      </c>
      <c r="D268" s="92"/>
      <c r="E268" s="92"/>
      <c r="F268" s="93"/>
      <c r="G268" s="93"/>
      <c r="H268" s="94">
        <v>1</v>
      </c>
      <c r="I268" s="94"/>
      <c r="J268" s="93"/>
      <c r="K268" s="93"/>
      <c r="L268" s="93"/>
      <c r="M268" s="93"/>
      <c r="N268" s="93"/>
      <c r="O268" s="94">
        <v>0</v>
      </c>
      <c r="P268" s="94"/>
      <c r="Q268" s="94"/>
      <c r="R268" s="93"/>
      <c r="S268" s="93"/>
      <c r="T268" s="93"/>
      <c r="U268" s="93"/>
      <c r="V268" s="94">
        <v>0</v>
      </c>
      <c r="W268" s="96"/>
      <c r="X268" s="93"/>
      <c r="Y268" s="93"/>
      <c r="Z268" s="93"/>
      <c r="AA268" s="93"/>
      <c r="AB268" s="93"/>
      <c r="AC268" s="94">
        <v>0</v>
      </c>
      <c r="AD268" s="94"/>
      <c r="AE268" s="93"/>
      <c r="AF268" s="93"/>
      <c r="AG268" s="93"/>
      <c r="AH268" s="93"/>
      <c r="AI268" s="93"/>
      <c r="AJ268" s="154"/>
    </row>
    <row r="269" ht="18" customHeight="1" outlineLevel="1" spans="2:36">
      <c r="B269" s="161"/>
      <c r="C269" s="91" t="s">
        <v>189</v>
      </c>
      <c r="D269" s="92"/>
      <c r="E269" s="92"/>
      <c r="F269" s="93">
        <v>0</v>
      </c>
      <c r="G269" s="93">
        <v>0</v>
      </c>
      <c r="H269" s="94">
        <v>660</v>
      </c>
      <c r="I269" s="94">
        <v>0</v>
      </c>
      <c r="J269" s="93">
        <v>0</v>
      </c>
      <c r="K269" s="93">
        <v>0</v>
      </c>
      <c r="L269" s="93">
        <v>0</v>
      </c>
      <c r="M269" s="93">
        <v>0</v>
      </c>
      <c r="N269" s="93">
        <v>0</v>
      </c>
      <c r="O269" s="94">
        <v>0</v>
      </c>
      <c r="P269" s="94">
        <v>0</v>
      </c>
      <c r="Q269" s="94">
        <v>0</v>
      </c>
      <c r="R269" s="93">
        <v>0</v>
      </c>
      <c r="S269" s="93">
        <v>0</v>
      </c>
      <c r="T269" s="93">
        <v>0</v>
      </c>
      <c r="U269" s="93">
        <v>0</v>
      </c>
      <c r="V269" s="94">
        <v>0</v>
      </c>
      <c r="W269" s="96">
        <v>0</v>
      </c>
      <c r="X269" s="93">
        <v>0</v>
      </c>
      <c r="Y269" s="93">
        <v>0</v>
      </c>
      <c r="Z269" s="93">
        <v>0</v>
      </c>
      <c r="AA269" s="93">
        <v>0</v>
      </c>
      <c r="AB269" s="93">
        <v>0</v>
      </c>
      <c r="AC269" s="94">
        <v>0</v>
      </c>
      <c r="AD269" s="94">
        <v>0</v>
      </c>
      <c r="AE269" s="93">
        <v>0</v>
      </c>
      <c r="AF269" s="93">
        <v>0</v>
      </c>
      <c r="AG269" s="93">
        <v>0</v>
      </c>
      <c r="AH269" s="93">
        <v>0</v>
      </c>
      <c r="AI269" s="93">
        <v>0</v>
      </c>
      <c r="AJ269" s="154">
        <v>0</v>
      </c>
    </row>
    <row r="270" ht="18" customHeight="1" outlineLevel="1" spans="2:36">
      <c r="B270" s="161"/>
      <c r="C270" s="91" t="s">
        <v>190</v>
      </c>
      <c r="D270" s="92">
        <v>0</v>
      </c>
      <c r="E270" s="92">
        <f>SUM(F270:AI270)</f>
        <v>0</v>
      </c>
      <c r="F270" s="95">
        <f t="shared" ref="F270:O270" si="163">F265*F268*F269</f>
        <v>0</v>
      </c>
      <c r="G270" s="95">
        <f t="shared" si="163"/>
        <v>0</v>
      </c>
      <c r="H270" s="96">
        <f t="shared" si="163"/>
        <v>0</v>
      </c>
      <c r="I270" s="96">
        <f t="shared" si="163"/>
        <v>0</v>
      </c>
      <c r="J270" s="95">
        <f t="shared" si="163"/>
        <v>0</v>
      </c>
      <c r="K270" s="95">
        <f t="shared" si="163"/>
        <v>0</v>
      </c>
      <c r="L270" s="95">
        <f t="shared" si="163"/>
        <v>0</v>
      </c>
      <c r="M270" s="95">
        <f t="shared" si="163"/>
        <v>0</v>
      </c>
      <c r="N270" s="95">
        <v>0</v>
      </c>
      <c r="O270" s="96">
        <f t="shared" si="163"/>
        <v>0</v>
      </c>
      <c r="P270" s="96">
        <f>P265*P268*P269*0.35</f>
        <v>0</v>
      </c>
      <c r="Q270" s="96">
        <f t="shared" ref="Q270:X270" si="164">Q265*Q268*Q269</f>
        <v>0</v>
      </c>
      <c r="R270" s="95">
        <f t="shared" si="164"/>
        <v>0</v>
      </c>
      <c r="S270" s="95">
        <f t="shared" si="164"/>
        <v>0</v>
      </c>
      <c r="T270" s="95">
        <f t="shared" si="164"/>
        <v>0</v>
      </c>
      <c r="U270" s="95">
        <f t="shared" si="164"/>
        <v>0</v>
      </c>
      <c r="V270" s="96">
        <f t="shared" si="164"/>
        <v>0</v>
      </c>
      <c r="W270" s="96">
        <f t="shared" si="164"/>
        <v>0</v>
      </c>
      <c r="X270" s="128">
        <f t="shared" si="164"/>
        <v>0</v>
      </c>
      <c r="Y270" s="128">
        <f>Y265*Y268*Y269*0.45</f>
        <v>0</v>
      </c>
      <c r="Z270" s="128">
        <f>Z265*Z268*Z269*0.55</f>
        <v>0</v>
      </c>
      <c r="AA270" s="128">
        <f>AA265*AA268*AA269*0.65</f>
        <v>0</v>
      </c>
      <c r="AB270" s="128">
        <f>AB265*AB268*AB269*0.75</f>
        <v>0</v>
      </c>
      <c r="AC270" s="96">
        <f>AC265*AC268*AC269*0.85</f>
        <v>0</v>
      </c>
      <c r="AD270" s="96">
        <f>AD265*AD268*AD269*0.95</f>
        <v>0</v>
      </c>
      <c r="AE270" s="95">
        <f t="shared" ref="AE270:AJ270" si="165">AE265*AE268*AE269</f>
        <v>0</v>
      </c>
      <c r="AF270" s="139">
        <f t="shared" si="165"/>
        <v>0</v>
      </c>
      <c r="AG270" s="95">
        <f t="shared" si="165"/>
        <v>0</v>
      </c>
      <c r="AH270" s="139">
        <f t="shared" si="165"/>
        <v>0</v>
      </c>
      <c r="AI270" s="139">
        <f t="shared" si="165"/>
        <v>0</v>
      </c>
      <c r="AJ270" s="154">
        <f t="shared" si="165"/>
        <v>0</v>
      </c>
    </row>
    <row r="271" ht="18" customHeight="1" outlineLevel="1" spans="2:36">
      <c r="B271" s="161"/>
      <c r="C271" s="91" t="s">
        <v>191</v>
      </c>
      <c r="D271" s="92"/>
      <c r="E271" s="108">
        <f>SUM(F271:AJ271)</f>
        <v>0</v>
      </c>
      <c r="F271" s="98"/>
      <c r="G271" s="99"/>
      <c r="H271" s="100"/>
      <c r="I271" s="100"/>
      <c r="J271" s="99"/>
      <c r="K271" s="99"/>
      <c r="L271" s="95"/>
      <c r="M271" s="95"/>
      <c r="N271" s="95"/>
      <c r="O271" s="115"/>
      <c r="P271" s="115"/>
      <c r="Q271" s="115"/>
      <c r="R271" s="95"/>
      <c r="S271" s="95"/>
      <c r="T271" s="95"/>
      <c r="U271" s="95"/>
      <c r="V271" s="96"/>
      <c r="W271" s="96"/>
      <c r="X271" s="95"/>
      <c r="Y271" s="128"/>
      <c r="Z271" s="95"/>
      <c r="AA271" s="95"/>
      <c r="AB271" s="95"/>
      <c r="AC271" s="96"/>
      <c r="AD271" s="96"/>
      <c r="AE271" s="95"/>
      <c r="AF271" s="139"/>
      <c r="AG271" s="95"/>
      <c r="AH271" s="139"/>
      <c r="AI271" s="139"/>
      <c r="AJ271" s="154"/>
    </row>
    <row r="272" ht="18" customHeight="1" outlineLevel="1" spans="2:36">
      <c r="B272" s="161"/>
      <c r="C272" s="91" t="s">
        <v>192</v>
      </c>
      <c r="D272" s="92"/>
      <c r="E272" s="92"/>
      <c r="F272" s="95">
        <f t="shared" ref="F272:H272" si="166">F271-F270</f>
        <v>0</v>
      </c>
      <c r="G272" s="95">
        <f t="shared" si="166"/>
        <v>0</v>
      </c>
      <c r="H272" s="96">
        <f t="shared" si="166"/>
        <v>0</v>
      </c>
      <c r="I272" s="96"/>
      <c r="J272" s="95">
        <f t="shared" ref="J272:O272" si="167">J271-J270</f>
        <v>0</v>
      </c>
      <c r="K272" s="95">
        <f t="shared" si="167"/>
        <v>0</v>
      </c>
      <c r="L272" s="95">
        <f t="shared" si="167"/>
        <v>0</v>
      </c>
      <c r="M272" s="95">
        <f t="shared" si="167"/>
        <v>0</v>
      </c>
      <c r="N272" s="95">
        <v>0</v>
      </c>
      <c r="O272" s="96">
        <f t="shared" si="167"/>
        <v>0</v>
      </c>
      <c r="P272" s="96"/>
      <c r="Q272" s="96">
        <f t="shared" ref="Q272:AJ272" si="168">Q271-Q270</f>
        <v>0</v>
      </c>
      <c r="R272" s="95">
        <f t="shared" si="168"/>
        <v>0</v>
      </c>
      <c r="S272" s="95">
        <f t="shared" si="168"/>
        <v>0</v>
      </c>
      <c r="T272" s="95">
        <f t="shared" si="168"/>
        <v>0</v>
      </c>
      <c r="U272" s="95">
        <f t="shared" si="168"/>
        <v>0</v>
      </c>
      <c r="V272" s="96">
        <f t="shared" si="168"/>
        <v>0</v>
      </c>
      <c r="W272" s="123">
        <f t="shared" si="168"/>
        <v>0</v>
      </c>
      <c r="X272" s="128">
        <f t="shared" si="168"/>
        <v>0</v>
      </c>
      <c r="Y272" s="128">
        <f t="shared" si="168"/>
        <v>0</v>
      </c>
      <c r="Z272" s="128">
        <f t="shared" si="168"/>
        <v>0</v>
      </c>
      <c r="AA272" s="128">
        <f t="shared" si="168"/>
        <v>0</v>
      </c>
      <c r="AB272" s="128">
        <f t="shared" si="168"/>
        <v>0</v>
      </c>
      <c r="AC272" s="96">
        <f t="shared" si="168"/>
        <v>0</v>
      </c>
      <c r="AD272" s="96">
        <f t="shared" si="168"/>
        <v>0</v>
      </c>
      <c r="AE272" s="95">
        <f t="shared" si="168"/>
        <v>0</v>
      </c>
      <c r="AF272" s="139">
        <f t="shared" si="168"/>
        <v>0</v>
      </c>
      <c r="AG272" s="95">
        <f t="shared" si="168"/>
        <v>0</v>
      </c>
      <c r="AH272" s="139">
        <f t="shared" si="168"/>
        <v>0</v>
      </c>
      <c r="AI272" s="139">
        <f t="shared" si="168"/>
        <v>0</v>
      </c>
      <c r="AJ272" s="154">
        <f t="shared" si="168"/>
        <v>0</v>
      </c>
    </row>
    <row r="273" ht="18" customHeight="1" outlineLevel="1" spans="2:36">
      <c r="B273" s="161"/>
      <c r="C273" s="91" t="s">
        <v>193</v>
      </c>
      <c r="D273" s="92"/>
      <c r="E273" s="92"/>
      <c r="F273" s="95">
        <f t="shared" ref="F273:H273" si="169">E273+F271</f>
        <v>0</v>
      </c>
      <c r="G273" s="95">
        <f t="shared" si="169"/>
        <v>0</v>
      </c>
      <c r="H273" s="96">
        <f t="shared" si="169"/>
        <v>0</v>
      </c>
      <c r="I273" s="96"/>
      <c r="J273" s="95">
        <f t="shared" ref="J273:O273" si="170">I273+J271</f>
        <v>0</v>
      </c>
      <c r="K273" s="95">
        <f t="shared" si="170"/>
        <v>0</v>
      </c>
      <c r="L273" s="95">
        <f t="shared" si="170"/>
        <v>0</v>
      </c>
      <c r="M273" s="95">
        <f t="shared" si="170"/>
        <v>0</v>
      </c>
      <c r="N273" s="95">
        <v>0</v>
      </c>
      <c r="O273" s="96">
        <f t="shared" si="170"/>
        <v>0</v>
      </c>
      <c r="P273" s="96"/>
      <c r="Q273" s="96">
        <f t="shared" ref="Q273:AJ273" si="171">P273+Q271</f>
        <v>0</v>
      </c>
      <c r="R273" s="95">
        <f t="shared" si="171"/>
        <v>0</v>
      </c>
      <c r="S273" s="95">
        <f t="shared" si="171"/>
        <v>0</v>
      </c>
      <c r="T273" s="95">
        <f t="shared" si="171"/>
        <v>0</v>
      </c>
      <c r="U273" s="95">
        <f t="shared" si="171"/>
        <v>0</v>
      </c>
      <c r="V273" s="96">
        <f t="shared" si="171"/>
        <v>0</v>
      </c>
      <c r="W273" s="123">
        <f t="shared" si="171"/>
        <v>0</v>
      </c>
      <c r="X273" s="128">
        <f t="shared" si="171"/>
        <v>0</v>
      </c>
      <c r="Y273" s="128">
        <f t="shared" si="171"/>
        <v>0</v>
      </c>
      <c r="Z273" s="128">
        <f t="shared" si="171"/>
        <v>0</v>
      </c>
      <c r="AA273" s="128">
        <f t="shared" si="171"/>
        <v>0</v>
      </c>
      <c r="AB273" s="128">
        <f t="shared" si="171"/>
        <v>0</v>
      </c>
      <c r="AC273" s="96">
        <f t="shared" si="171"/>
        <v>0</v>
      </c>
      <c r="AD273" s="96">
        <f t="shared" si="171"/>
        <v>0</v>
      </c>
      <c r="AE273" s="95">
        <f t="shared" si="171"/>
        <v>0</v>
      </c>
      <c r="AF273" s="139">
        <f t="shared" si="171"/>
        <v>0</v>
      </c>
      <c r="AG273" s="95">
        <f t="shared" si="171"/>
        <v>0</v>
      </c>
      <c r="AH273" s="139">
        <f t="shared" si="171"/>
        <v>0</v>
      </c>
      <c r="AI273" s="139">
        <f t="shared" si="171"/>
        <v>0</v>
      </c>
      <c r="AJ273" s="154">
        <f t="shared" si="171"/>
        <v>0</v>
      </c>
    </row>
    <row r="274" ht="18" customHeight="1" spans="2:36">
      <c r="B274" s="164"/>
      <c r="C274" s="102" t="s">
        <v>194</v>
      </c>
      <c r="D274" s="103"/>
      <c r="E274" s="103"/>
      <c r="F274" s="104" t="str">
        <f t="shared" ref="F274:O274" si="172">IF(F271&gt;0,F271/F270,"")</f>
        <v/>
      </c>
      <c r="G274" s="104" t="str">
        <f t="shared" si="172"/>
        <v/>
      </c>
      <c r="H274" s="105" t="str">
        <f t="shared" si="172"/>
        <v/>
      </c>
      <c r="I274" s="105" t="str">
        <f t="shared" si="172"/>
        <v/>
      </c>
      <c r="J274" s="104" t="str">
        <f t="shared" si="172"/>
        <v/>
      </c>
      <c r="K274" s="104" t="str">
        <f t="shared" si="172"/>
        <v/>
      </c>
      <c r="L274" s="104" t="str">
        <f t="shared" si="172"/>
        <v/>
      </c>
      <c r="M274" s="104" t="str">
        <f t="shared" si="172"/>
        <v/>
      </c>
      <c r="N274" s="104" t="s">
        <v>195</v>
      </c>
      <c r="O274" s="105" t="str">
        <f t="shared" si="172"/>
        <v/>
      </c>
      <c r="P274" s="105"/>
      <c r="Q274" s="105" t="str">
        <f t="shared" ref="Q274:AJ274" si="173">IF(Q271&gt;0,Q271/Q270,"")</f>
        <v/>
      </c>
      <c r="R274" s="104" t="str">
        <f t="shared" si="173"/>
        <v/>
      </c>
      <c r="S274" s="104" t="str">
        <f t="shared" si="173"/>
        <v/>
      </c>
      <c r="T274" s="104" t="str">
        <f t="shared" si="173"/>
        <v/>
      </c>
      <c r="U274" s="104" t="str">
        <f t="shared" si="173"/>
        <v/>
      </c>
      <c r="V274" s="105" t="str">
        <f t="shared" si="173"/>
        <v/>
      </c>
      <c r="W274" s="105" t="str">
        <f t="shared" si="173"/>
        <v/>
      </c>
      <c r="X274" s="104" t="str">
        <f t="shared" si="173"/>
        <v/>
      </c>
      <c r="Y274" s="188" t="str">
        <f t="shared" si="173"/>
        <v/>
      </c>
      <c r="Z274" s="142" t="str">
        <f t="shared" si="173"/>
        <v/>
      </c>
      <c r="AA274" s="104" t="str">
        <f t="shared" si="173"/>
        <v/>
      </c>
      <c r="AB274" s="104" t="str">
        <f t="shared" si="173"/>
        <v/>
      </c>
      <c r="AC274" s="105" t="str">
        <f t="shared" si="173"/>
        <v/>
      </c>
      <c r="AD274" s="105" t="str">
        <f t="shared" si="173"/>
        <v/>
      </c>
      <c r="AE274" s="104" t="str">
        <f t="shared" si="173"/>
        <v/>
      </c>
      <c r="AF274" s="141" t="str">
        <f t="shared" si="173"/>
        <v/>
      </c>
      <c r="AG274" s="104" t="str">
        <f t="shared" si="173"/>
        <v/>
      </c>
      <c r="AH274" s="155" t="str">
        <f t="shared" si="173"/>
        <v/>
      </c>
      <c r="AI274" s="155" t="str">
        <f t="shared" si="173"/>
        <v/>
      </c>
      <c r="AJ274" s="156" t="str">
        <f t="shared" si="173"/>
        <v/>
      </c>
    </row>
    <row r="275" ht="18" customHeight="1" outlineLevel="1" spans="2:36">
      <c r="B275" s="160" t="s">
        <v>207</v>
      </c>
      <c r="C275" s="86" t="s">
        <v>185</v>
      </c>
      <c r="D275" s="87"/>
      <c r="E275" s="87"/>
      <c r="F275" s="88"/>
      <c r="G275" s="88"/>
      <c r="H275" s="89"/>
      <c r="I275" s="89"/>
      <c r="J275" s="88"/>
      <c r="K275" s="88"/>
      <c r="L275" s="88"/>
      <c r="M275" s="88"/>
      <c r="N275" s="88"/>
      <c r="O275" s="89"/>
      <c r="P275" s="89"/>
      <c r="Q275" s="89"/>
      <c r="R275" s="88"/>
      <c r="S275" s="88"/>
      <c r="T275" s="88"/>
      <c r="U275" s="88"/>
      <c r="V275" s="89"/>
      <c r="W275" s="126"/>
      <c r="X275" s="127"/>
      <c r="Y275" s="127"/>
      <c r="Z275" s="127"/>
      <c r="AA275" s="127"/>
      <c r="AB275" s="127"/>
      <c r="AC275" s="89"/>
      <c r="AD275" s="89"/>
      <c r="AE275" s="88"/>
      <c r="AF275" s="137"/>
      <c r="AG275" s="88"/>
      <c r="AH275" s="157"/>
      <c r="AI275" s="157"/>
      <c r="AJ275" s="158"/>
    </row>
    <row r="276" ht="18" customHeight="1" outlineLevel="1" spans="2:36">
      <c r="B276" s="161"/>
      <c r="C276" s="91" t="s">
        <v>186</v>
      </c>
      <c r="D276" s="92"/>
      <c r="E276" s="92"/>
      <c r="F276" s="93">
        <v>46</v>
      </c>
      <c r="G276" s="93">
        <v>46</v>
      </c>
      <c r="H276" s="94">
        <v>46</v>
      </c>
      <c r="I276" s="94">
        <v>46</v>
      </c>
      <c r="J276" s="93">
        <v>46</v>
      </c>
      <c r="K276" s="93">
        <v>46</v>
      </c>
      <c r="L276" s="93">
        <v>46</v>
      </c>
      <c r="M276" s="93">
        <v>46</v>
      </c>
      <c r="N276" s="93">
        <v>46</v>
      </c>
      <c r="O276" s="94">
        <v>46</v>
      </c>
      <c r="P276" s="94">
        <v>46</v>
      </c>
      <c r="Q276" s="94">
        <v>46</v>
      </c>
      <c r="R276" s="93">
        <v>46</v>
      </c>
      <c r="S276" s="93">
        <v>46</v>
      </c>
      <c r="T276" s="93">
        <v>46</v>
      </c>
      <c r="U276" s="93">
        <v>46</v>
      </c>
      <c r="V276" s="94">
        <v>46</v>
      </c>
      <c r="W276" s="123">
        <v>46</v>
      </c>
      <c r="X276" s="128">
        <v>38</v>
      </c>
      <c r="Y276" s="128">
        <v>46</v>
      </c>
      <c r="Z276" s="128">
        <v>46</v>
      </c>
      <c r="AA276" s="128">
        <v>46</v>
      </c>
      <c r="AB276" s="128">
        <v>46</v>
      </c>
      <c r="AC276" s="94">
        <v>46</v>
      </c>
      <c r="AD276" s="94">
        <v>46</v>
      </c>
      <c r="AE276" s="93">
        <v>46</v>
      </c>
      <c r="AF276" s="138">
        <v>38</v>
      </c>
      <c r="AG276" s="93">
        <v>46</v>
      </c>
      <c r="AH276" s="139">
        <v>46</v>
      </c>
      <c r="AI276" s="139">
        <v>46</v>
      </c>
      <c r="AJ276" s="154">
        <v>47</v>
      </c>
    </row>
    <row r="277" ht="18" customHeight="1" outlineLevel="1" spans="2:36">
      <c r="B277" s="161"/>
      <c r="C277" s="91" t="s">
        <v>187</v>
      </c>
      <c r="D277" s="92"/>
      <c r="E277" s="92"/>
      <c r="F277" s="93">
        <f t="shared" ref="F277:AJ277" si="174">F275*F276</f>
        <v>0</v>
      </c>
      <c r="G277" s="93">
        <f t="shared" si="174"/>
        <v>0</v>
      </c>
      <c r="H277" s="94">
        <f t="shared" si="174"/>
        <v>0</v>
      </c>
      <c r="I277" s="94">
        <f t="shared" si="174"/>
        <v>0</v>
      </c>
      <c r="J277" s="93">
        <f t="shared" si="174"/>
        <v>0</v>
      </c>
      <c r="K277" s="93">
        <f t="shared" si="174"/>
        <v>0</v>
      </c>
      <c r="L277" s="93">
        <f t="shared" si="174"/>
        <v>0</v>
      </c>
      <c r="M277" s="93">
        <f t="shared" si="174"/>
        <v>0</v>
      </c>
      <c r="N277" s="93">
        <v>0</v>
      </c>
      <c r="O277" s="94">
        <f t="shared" si="174"/>
        <v>0</v>
      </c>
      <c r="P277" s="94">
        <f t="shared" si="174"/>
        <v>0</v>
      </c>
      <c r="Q277" s="94">
        <f t="shared" si="174"/>
        <v>0</v>
      </c>
      <c r="R277" s="93">
        <f t="shared" si="174"/>
        <v>0</v>
      </c>
      <c r="S277" s="93">
        <f t="shared" si="174"/>
        <v>0</v>
      </c>
      <c r="T277" s="93">
        <f t="shared" si="174"/>
        <v>0</v>
      </c>
      <c r="U277" s="93">
        <f t="shared" si="174"/>
        <v>0</v>
      </c>
      <c r="V277" s="94">
        <f t="shared" si="174"/>
        <v>0</v>
      </c>
      <c r="W277" s="96">
        <f t="shared" si="174"/>
        <v>0</v>
      </c>
      <c r="X277" s="93">
        <f t="shared" si="174"/>
        <v>0</v>
      </c>
      <c r="Y277" s="93">
        <f t="shared" si="174"/>
        <v>0</v>
      </c>
      <c r="Z277" s="93">
        <f t="shared" si="174"/>
        <v>0</v>
      </c>
      <c r="AA277" s="93">
        <f t="shared" si="174"/>
        <v>0</v>
      </c>
      <c r="AB277" s="93">
        <f t="shared" si="174"/>
        <v>0</v>
      </c>
      <c r="AC277" s="94">
        <f t="shared" si="174"/>
        <v>0</v>
      </c>
      <c r="AD277" s="94">
        <f t="shared" si="174"/>
        <v>0</v>
      </c>
      <c r="AE277" s="93">
        <f t="shared" si="174"/>
        <v>0</v>
      </c>
      <c r="AF277" s="138">
        <f t="shared" si="174"/>
        <v>0</v>
      </c>
      <c r="AG277" s="93">
        <f t="shared" si="174"/>
        <v>0</v>
      </c>
      <c r="AH277" s="139">
        <f t="shared" si="174"/>
        <v>0</v>
      </c>
      <c r="AI277" s="139">
        <f t="shared" si="174"/>
        <v>0</v>
      </c>
      <c r="AJ277" s="154">
        <f t="shared" si="174"/>
        <v>0</v>
      </c>
    </row>
    <row r="278" ht="18" customHeight="1" outlineLevel="1" spans="2:36">
      <c r="B278" s="161"/>
      <c r="C278" s="91" t="s">
        <v>188</v>
      </c>
      <c r="D278" s="92"/>
      <c r="E278" s="92"/>
      <c r="F278" s="93"/>
      <c r="G278" s="93"/>
      <c r="H278" s="94"/>
      <c r="I278" s="94"/>
      <c r="J278" s="93"/>
      <c r="K278" s="93"/>
      <c r="L278" s="93"/>
      <c r="M278" s="93"/>
      <c r="N278" s="93"/>
      <c r="O278" s="94"/>
      <c r="P278" s="94"/>
      <c r="Q278" s="94"/>
      <c r="R278" s="93"/>
      <c r="S278" s="93"/>
      <c r="T278" s="93">
        <v>4</v>
      </c>
      <c r="U278" s="93">
        <v>8</v>
      </c>
      <c r="V278" s="94">
        <v>12</v>
      </c>
      <c r="W278" s="96">
        <v>12</v>
      </c>
      <c r="X278" s="93">
        <v>12</v>
      </c>
      <c r="Y278" s="128">
        <v>12</v>
      </c>
      <c r="Z278" s="93">
        <v>12</v>
      </c>
      <c r="AA278" s="93">
        <v>12</v>
      </c>
      <c r="AB278" s="93">
        <v>12</v>
      </c>
      <c r="AC278" s="94"/>
      <c r="AD278" s="94"/>
      <c r="AE278" s="93"/>
      <c r="AF278" s="93"/>
      <c r="AG278" s="93"/>
      <c r="AH278" s="139"/>
      <c r="AI278" s="139"/>
      <c r="AJ278" s="154"/>
    </row>
    <row r="279" ht="18" customHeight="1" outlineLevel="1" spans="2:36">
      <c r="B279" s="161"/>
      <c r="C279" s="91" t="s">
        <v>189</v>
      </c>
      <c r="D279" s="92"/>
      <c r="E279" s="92"/>
      <c r="F279" s="93">
        <v>660</v>
      </c>
      <c r="G279" s="93">
        <v>660</v>
      </c>
      <c r="H279" s="94">
        <v>660</v>
      </c>
      <c r="I279" s="94">
        <v>660</v>
      </c>
      <c r="J279" s="93">
        <v>660</v>
      </c>
      <c r="K279" s="93">
        <v>660</v>
      </c>
      <c r="L279" s="93">
        <v>660</v>
      </c>
      <c r="M279" s="93">
        <v>660</v>
      </c>
      <c r="N279" s="93">
        <v>660</v>
      </c>
      <c r="O279" s="94">
        <v>660</v>
      </c>
      <c r="P279" s="94">
        <v>660</v>
      </c>
      <c r="Q279" s="94">
        <v>660</v>
      </c>
      <c r="R279" s="93">
        <v>660</v>
      </c>
      <c r="S279" s="93">
        <v>660</v>
      </c>
      <c r="T279" s="93">
        <v>660</v>
      </c>
      <c r="U279" s="93">
        <v>660</v>
      </c>
      <c r="V279" s="94">
        <v>660</v>
      </c>
      <c r="W279" s="96">
        <v>660</v>
      </c>
      <c r="X279" s="93">
        <v>660</v>
      </c>
      <c r="Y279" s="128">
        <v>660</v>
      </c>
      <c r="Z279" s="93">
        <v>660</v>
      </c>
      <c r="AA279" s="93">
        <v>660</v>
      </c>
      <c r="AB279" s="93">
        <v>660</v>
      </c>
      <c r="AC279" s="94">
        <v>660</v>
      </c>
      <c r="AD279" s="94">
        <v>660</v>
      </c>
      <c r="AE279" s="93">
        <v>660</v>
      </c>
      <c r="AF279" s="138">
        <v>660</v>
      </c>
      <c r="AG279" s="93">
        <v>660</v>
      </c>
      <c r="AH279" s="139">
        <v>660</v>
      </c>
      <c r="AI279" s="139">
        <v>660</v>
      </c>
      <c r="AJ279" s="154">
        <v>661</v>
      </c>
    </row>
    <row r="280" ht="18" customHeight="1" outlineLevel="1" spans="2:36">
      <c r="B280" s="161"/>
      <c r="C280" s="91" t="s">
        <v>190</v>
      </c>
      <c r="D280" s="92">
        <v>0</v>
      </c>
      <c r="E280" s="92">
        <f>SUM(F280:AI280)</f>
        <v>0</v>
      </c>
      <c r="F280" s="95">
        <f t="shared" ref="F280:V280" si="175">F275*F278*F279</f>
        <v>0</v>
      </c>
      <c r="G280" s="95">
        <f t="shared" si="175"/>
        <v>0</v>
      </c>
      <c r="H280" s="96">
        <f t="shared" si="175"/>
        <v>0</v>
      </c>
      <c r="I280" s="96">
        <f t="shared" si="175"/>
        <v>0</v>
      </c>
      <c r="J280" s="95">
        <f t="shared" si="175"/>
        <v>0</v>
      </c>
      <c r="K280" s="95">
        <f t="shared" si="175"/>
        <v>0</v>
      </c>
      <c r="L280" s="95">
        <f t="shared" si="175"/>
        <v>0</v>
      </c>
      <c r="M280" s="95">
        <f t="shared" si="175"/>
        <v>0</v>
      </c>
      <c r="N280" s="95">
        <v>0</v>
      </c>
      <c r="O280" s="96">
        <f t="shared" si="175"/>
        <v>0</v>
      </c>
      <c r="P280" s="96">
        <f>P275*P278*P279*0.35</f>
        <v>0</v>
      </c>
      <c r="Q280" s="96">
        <f t="shared" si="175"/>
        <v>0</v>
      </c>
      <c r="R280" s="95">
        <f t="shared" si="175"/>
        <v>0</v>
      </c>
      <c r="S280" s="95">
        <f t="shared" si="175"/>
        <v>0</v>
      </c>
      <c r="T280" s="95">
        <f>T275*T278*T279*0.35</f>
        <v>0</v>
      </c>
      <c r="U280" s="95">
        <f>U275*U278*U279*0.45</f>
        <v>0</v>
      </c>
      <c r="V280" s="96">
        <f t="shared" si="175"/>
        <v>0</v>
      </c>
      <c r="W280" s="123">
        <f>W275*W278*W279*0.55</f>
        <v>0</v>
      </c>
      <c r="X280" s="128">
        <f>X275*X278*X279*0.65</f>
        <v>0</v>
      </c>
      <c r="Y280" s="128">
        <f>Y275*Y278*Y279*0.75</f>
        <v>0</v>
      </c>
      <c r="Z280" s="128">
        <f>Z275*Z278*Z279*0.85</f>
        <v>0</v>
      </c>
      <c r="AA280" s="128">
        <f>AA275*AA278*AA279*0.95</f>
        <v>0</v>
      </c>
      <c r="AB280" s="128">
        <f>AB275*AB278*AB279</f>
        <v>0</v>
      </c>
      <c r="AC280" s="96">
        <f>AC275*AC278*AC279*0.85</f>
        <v>0</v>
      </c>
      <c r="AD280" s="96">
        <f>AD275*AD278*AD279*0.95</f>
        <v>0</v>
      </c>
      <c r="AE280" s="95">
        <f t="shared" ref="AE280:AJ280" si="176">AE275*AE278*AE279</f>
        <v>0</v>
      </c>
      <c r="AF280" s="139">
        <f t="shared" si="176"/>
        <v>0</v>
      </c>
      <c r="AG280" s="95">
        <f t="shared" si="176"/>
        <v>0</v>
      </c>
      <c r="AH280" s="139">
        <f t="shared" si="176"/>
        <v>0</v>
      </c>
      <c r="AI280" s="139">
        <f t="shared" si="176"/>
        <v>0</v>
      </c>
      <c r="AJ280" s="154">
        <f t="shared" si="176"/>
        <v>0</v>
      </c>
    </row>
    <row r="281" ht="18" customHeight="1" outlineLevel="1" spans="2:36">
      <c r="B281" s="162"/>
      <c r="C281" s="91" t="s">
        <v>191</v>
      </c>
      <c r="D281" s="92"/>
      <c r="E281" s="108">
        <f>SUM(F281:AJ281)</f>
        <v>0</v>
      </c>
      <c r="F281" s="98"/>
      <c r="G281" s="99"/>
      <c r="H281" s="100"/>
      <c r="I281" s="100"/>
      <c r="J281" s="99"/>
      <c r="K281" s="99"/>
      <c r="L281" s="95"/>
      <c r="M281" s="95"/>
      <c r="N281" s="95"/>
      <c r="O281" s="115"/>
      <c r="P281" s="115"/>
      <c r="Q281" s="115"/>
      <c r="R281" s="95"/>
      <c r="S281" s="95"/>
      <c r="T281" s="95"/>
      <c r="U281" s="95"/>
      <c r="V281" s="96"/>
      <c r="W281" s="96"/>
      <c r="X281" s="95"/>
      <c r="Y281" s="128"/>
      <c r="Z281" s="95"/>
      <c r="AA281" s="95"/>
      <c r="AB281" s="95"/>
      <c r="AC281" s="96"/>
      <c r="AD281" s="96"/>
      <c r="AE281" s="95"/>
      <c r="AF281" s="139"/>
      <c r="AG281" s="95"/>
      <c r="AH281" s="139"/>
      <c r="AI281" s="139"/>
      <c r="AJ281" s="154"/>
    </row>
    <row r="282" ht="18" customHeight="1" outlineLevel="1" spans="2:36">
      <c r="B282" s="161"/>
      <c r="C282" s="91" t="s">
        <v>192</v>
      </c>
      <c r="D282" s="92"/>
      <c r="E282" s="92"/>
      <c r="F282" s="95">
        <f t="shared" ref="F282:H282" si="177">F281-F280</f>
        <v>0</v>
      </c>
      <c r="G282" s="95">
        <f t="shared" si="177"/>
        <v>0</v>
      </c>
      <c r="H282" s="96">
        <f t="shared" si="177"/>
        <v>0</v>
      </c>
      <c r="I282" s="96"/>
      <c r="J282" s="95">
        <f t="shared" ref="J282:AJ282" si="178">J281-J280</f>
        <v>0</v>
      </c>
      <c r="K282" s="95">
        <f t="shared" si="178"/>
        <v>0</v>
      </c>
      <c r="L282" s="95">
        <f t="shared" si="178"/>
        <v>0</v>
      </c>
      <c r="M282" s="95">
        <f t="shared" si="178"/>
        <v>0</v>
      </c>
      <c r="N282" s="95">
        <v>0</v>
      </c>
      <c r="O282" s="96">
        <f t="shared" si="178"/>
        <v>0</v>
      </c>
      <c r="P282" s="96"/>
      <c r="Q282" s="96">
        <f t="shared" si="178"/>
        <v>0</v>
      </c>
      <c r="R282" s="95">
        <f t="shared" si="178"/>
        <v>0</v>
      </c>
      <c r="S282" s="95">
        <f t="shared" si="178"/>
        <v>0</v>
      </c>
      <c r="T282" s="95">
        <f t="shared" si="178"/>
        <v>0</v>
      </c>
      <c r="U282" s="95">
        <f t="shared" si="178"/>
        <v>0</v>
      </c>
      <c r="V282" s="96">
        <f t="shared" si="178"/>
        <v>0</v>
      </c>
      <c r="W282" s="123">
        <f t="shared" si="178"/>
        <v>0</v>
      </c>
      <c r="X282" s="128">
        <f t="shared" si="178"/>
        <v>0</v>
      </c>
      <c r="Y282" s="128">
        <f t="shared" si="178"/>
        <v>0</v>
      </c>
      <c r="Z282" s="128">
        <f t="shared" si="178"/>
        <v>0</v>
      </c>
      <c r="AA282" s="128">
        <f t="shared" si="178"/>
        <v>0</v>
      </c>
      <c r="AB282" s="128">
        <f t="shared" si="178"/>
        <v>0</v>
      </c>
      <c r="AC282" s="96">
        <f t="shared" si="178"/>
        <v>0</v>
      </c>
      <c r="AD282" s="96">
        <f t="shared" si="178"/>
        <v>0</v>
      </c>
      <c r="AE282" s="95">
        <f t="shared" si="178"/>
        <v>0</v>
      </c>
      <c r="AF282" s="139">
        <f t="shared" si="178"/>
        <v>0</v>
      </c>
      <c r="AG282" s="95">
        <f t="shared" si="178"/>
        <v>0</v>
      </c>
      <c r="AH282" s="139">
        <f t="shared" si="178"/>
        <v>0</v>
      </c>
      <c r="AI282" s="139">
        <f t="shared" si="178"/>
        <v>0</v>
      </c>
      <c r="AJ282" s="154">
        <f t="shared" si="178"/>
        <v>0</v>
      </c>
    </row>
    <row r="283" ht="18" customHeight="1" outlineLevel="1" spans="2:36">
      <c r="B283" s="161"/>
      <c r="C283" s="91" t="s">
        <v>193</v>
      </c>
      <c r="D283" s="92"/>
      <c r="E283" s="92"/>
      <c r="F283" s="95">
        <f t="shared" ref="F283:H283" si="179">E283+F281</f>
        <v>0</v>
      </c>
      <c r="G283" s="95">
        <f t="shared" si="179"/>
        <v>0</v>
      </c>
      <c r="H283" s="96">
        <f t="shared" si="179"/>
        <v>0</v>
      </c>
      <c r="I283" s="96"/>
      <c r="J283" s="95">
        <f t="shared" ref="J283:AJ283" si="180">I283+J281</f>
        <v>0</v>
      </c>
      <c r="K283" s="95">
        <f t="shared" si="180"/>
        <v>0</v>
      </c>
      <c r="L283" s="95">
        <f t="shared" si="180"/>
        <v>0</v>
      </c>
      <c r="M283" s="95">
        <f t="shared" si="180"/>
        <v>0</v>
      </c>
      <c r="N283" s="95">
        <v>0</v>
      </c>
      <c r="O283" s="96">
        <f t="shared" si="180"/>
        <v>0</v>
      </c>
      <c r="P283" s="96"/>
      <c r="Q283" s="96">
        <f t="shared" si="180"/>
        <v>0</v>
      </c>
      <c r="R283" s="95">
        <f t="shared" si="180"/>
        <v>0</v>
      </c>
      <c r="S283" s="95">
        <f t="shared" si="180"/>
        <v>0</v>
      </c>
      <c r="T283" s="95">
        <f t="shared" si="180"/>
        <v>0</v>
      </c>
      <c r="U283" s="95">
        <f t="shared" si="180"/>
        <v>0</v>
      </c>
      <c r="V283" s="96">
        <f t="shared" si="180"/>
        <v>0</v>
      </c>
      <c r="W283" s="123">
        <f t="shared" si="180"/>
        <v>0</v>
      </c>
      <c r="X283" s="128">
        <f t="shared" si="180"/>
        <v>0</v>
      </c>
      <c r="Y283" s="128">
        <f t="shared" si="180"/>
        <v>0</v>
      </c>
      <c r="Z283" s="128">
        <f t="shared" si="180"/>
        <v>0</v>
      </c>
      <c r="AA283" s="128">
        <f t="shared" si="180"/>
        <v>0</v>
      </c>
      <c r="AB283" s="128">
        <f t="shared" si="180"/>
        <v>0</v>
      </c>
      <c r="AC283" s="96">
        <f t="shared" si="180"/>
        <v>0</v>
      </c>
      <c r="AD283" s="96">
        <f t="shared" si="180"/>
        <v>0</v>
      </c>
      <c r="AE283" s="95">
        <f t="shared" si="180"/>
        <v>0</v>
      </c>
      <c r="AF283" s="139">
        <f t="shared" si="180"/>
        <v>0</v>
      </c>
      <c r="AG283" s="95">
        <f t="shared" si="180"/>
        <v>0</v>
      </c>
      <c r="AH283" s="139">
        <f t="shared" si="180"/>
        <v>0</v>
      </c>
      <c r="AI283" s="139">
        <f t="shared" si="180"/>
        <v>0</v>
      </c>
      <c r="AJ283" s="154">
        <f t="shared" si="180"/>
        <v>0</v>
      </c>
    </row>
    <row r="284" ht="18" customHeight="1" spans="2:36">
      <c r="B284" s="164"/>
      <c r="C284" s="102" t="s">
        <v>194</v>
      </c>
      <c r="D284" s="103"/>
      <c r="E284" s="103"/>
      <c r="F284" s="104" t="str">
        <f t="shared" ref="F284:AJ284" si="181">IF(F281&gt;0,F281/F280,"")</f>
        <v/>
      </c>
      <c r="G284" s="104" t="str">
        <f t="shared" si="181"/>
        <v/>
      </c>
      <c r="H284" s="105" t="str">
        <f t="shared" si="181"/>
        <v/>
      </c>
      <c r="I284" s="105" t="str">
        <f t="shared" si="181"/>
        <v/>
      </c>
      <c r="J284" s="104" t="str">
        <f t="shared" si="181"/>
        <v/>
      </c>
      <c r="K284" s="104" t="str">
        <f t="shared" si="181"/>
        <v/>
      </c>
      <c r="L284" s="104" t="str">
        <f t="shared" si="181"/>
        <v/>
      </c>
      <c r="M284" s="104" t="str">
        <f t="shared" si="181"/>
        <v/>
      </c>
      <c r="N284" s="104" t="s">
        <v>195</v>
      </c>
      <c r="O284" s="105" t="str">
        <f t="shared" si="181"/>
        <v/>
      </c>
      <c r="P284" s="105"/>
      <c r="Q284" s="105" t="str">
        <f t="shared" si="181"/>
        <v/>
      </c>
      <c r="R284" s="104" t="str">
        <f t="shared" si="181"/>
        <v/>
      </c>
      <c r="S284" s="104" t="str">
        <f t="shared" si="181"/>
        <v/>
      </c>
      <c r="T284" s="104" t="str">
        <f t="shared" si="181"/>
        <v/>
      </c>
      <c r="U284" s="104" t="str">
        <f t="shared" si="181"/>
        <v/>
      </c>
      <c r="V284" s="105" t="str">
        <f t="shared" si="181"/>
        <v/>
      </c>
      <c r="W284" s="105" t="str">
        <f t="shared" si="181"/>
        <v/>
      </c>
      <c r="X284" s="104" t="str">
        <f t="shared" si="181"/>
        <v/>
      </c>
      <c r="Y284" s="188" t="str">
        <f t="shared" si="181"/>
        <v/>
      </c>
      <c r="Z284" s="142" t="str">
        <f t="shared" si="181"/>
        <v/>
      </c>
      <c r="AA284" s="104" t="str">
        <f t="shared" si="181"/>
        <v/>
      </c>
      <c r="AB284" s="104" t="str">
        <f t="shared" si="181"/>
        <v/>
      </c>
      <c r="AC284" s="105" t="str">
        <f t="shared" si="181"/>
        <v/>
      </c>
      <c r="AD284" s="105" t="str">
        <f t="shared" si="181"/>
        <v/>
      </c>
      <c r="AE284" s="104" t="str">
        <f t="shared" si="181"/>
        <v/>
      </c>
      <c r="AF284" s="141" t="str">
        <f t="shared" si="181"/>
        <v/>
      </c>
      <c r="AG284" s="104" t="str">
        <f t="shared" si="181"/>
        <v/>
      </c>
      <c r="AH284" s="155" t="str">
        <f t="shared" si="181"/>
        <v/>
      </c>
      <c r="AI284" s="155" t="str">
        <f t="shared" si="181"/>
        <v/>
      </c>
      <c r="AJ284" s="156" t="str">
        <f t="shared" si="181"/>
        <v/>
      </c>
    </row>
    <row r="285" ht="18" customHeight="1" outlineLevel="1" spans="2:36">
      <c r="B285" s="160" t="s">
        <v>105</v>
      </c>
      <c r="C285" s="86" t="s">
        <v>185</v>
      </c>
      <c r="D285" s="87"/>
      <c r="E285" s="87"/>
      <c r="F285" s="88"/>
      <c r="G285" s="88"/>
      <c r="H285" s="89"/>
      <c r="I285" s="89"/>
      <c r="J285" s="88"/>
      <c r="K285" s="88"/>
      <c r="L285" s="88"/>
      <c r="M285" s="88"/>
      <c r="N285" s="88"/>
      <c r="O285" s="89"/>
      <c r="P285" s="89"/>
      <c r="Q285" s="89"/>
      <c r="R285" s="88"/>
      <c r="S285" s="88"/>
      <c r="T285" s="88"/>
      <c r="U285" s="88"/>
      <c r="V285" s="89"/>
      <c r="W285" s="126"/>
      <c r="X285" s="127"/>
      <c r="Y285" s="127"/>
      <c r="Z285" s="127"/>
      <c r="AA285" s="127"/>
      <c r="AB285" s="127"/>
      <c r="AC285" s="89"/>
      <c r="AD285" s="89"/>
      <c r="AE285" s="88"/>
      <c r="AF285" s="137"/>
      <c r="AG285" s="88"/>
      <c r="AH285" s="157"/>
      <c r="AI285" s="157"/>
      <c r="AJ285" s="158"/>
    </row>
    <row r="286" ht="18" customHeight="1" outlineLevel="1" spans="2:36">
      <c r="B286" s="161"/>
      <c r="C286" s="91" t="s">
        <v>186</v>
      </c>
      <c r="D286" s="92"/>
      <c r="E286" s="92"/>
      <c r="F286" s="93">
        <v>46</v>
      </c>
      <c r="G286" s="93">
        <v>46</v>
      </c>
      <c r="H286" s="94">
        <v>46</v>
      </c>
      <c r="I286" s="94">
        <v>46</v>
      </c>
      <c r="J286" s="93">
        <v>46</v>
      </c>
      <c r="K286" s="93">
        <v>46</v>
      </c>
      <c r="L286" s="93">
        <v>46</v>
      </c>
      <c r="M286" s="93">
        <v>46</v>
      </c>
      <c r="N286" s="93">
        <v>45</v>
      </c>
      <c r="O286" s="94">
        <v>45</v>
      </c>
      <c r="P286" s="94">
        <v>45</v>
      </c>
      <c r="Q286" s="94">
        <v>45</v>
      </c>
      <c r="R286" s="93">
        <v>45</v>
      </c>
      <c r="S286" s="93">
        <v>45</v>
      </c>
      <c r="T286" s="93">
        <v>45</v>
      </c>
      <c r="U286" s="93">
        <v>46</v>
      </c>
      <c r="V286" s="94">
        <v>46</v>
      </c>
      <c r="W286" s="96">
        <v>45</v>
      </c>
      <c r="X286" s="93">
        <v>45</v>
      </c>
      <c r="Y286" s="93">
        <v>45</v>
      </c>
      <c r="Z286" s="93">
        <v>45</v>
      </c>
      <c r="AA286" s="93">
        <v>45</v>
      </c>
      <c r="AB286" s="128">
        <v>45</v>
      </c>
      <c r="AC286" s="94">
        <v>45</v>
      </c>
      <c r="AD286" s="94">
        <v>45</v>
      </c>
      <c r="AE286" s="93">
        <v>45</v>
      </c>
      <c r="AF286" s="93">
        <v>45</v>
      </c>
      <c r="AG286" s="93">
        <v>45</v>
      </c>
      <c r="AH286" s="93">
        <v>45</v>
      </c>
      <c r="AI286" s="139">
        <v>45</v>
      </c>
      <c r="AJ286" s="154">
        <v>46</v>
      </c>
    </row>
    <row r="287" ht="18" customHeight="1" outlineLevel="1" spans="2:36">
      <c r="B287" s="161"/>
      <c r="C287" s="91" t="s">
        <v>187</v>
      </c>
      <c r="D287" s="92"/>
      <c r="E287" s="92"/>
      <c r="F287" s="93">
        <f t="shared" ref="F287:AJ287" si="182">F285*F286</f>
        <v>0</v>
      </c>
      <c r="G287" s="93">
        <f t="shared" si="182"/>
        <v>0</v>
      </c>
      <c r="H287" s="94">
        <f t="shared" si="182"/>
        <v>0</v>
      </c>
      <c r="I287" s="94">
        <f t="shared" si="182"/>
        <v>0</v>
      </c>
      <c r="J287" s="93">
        <f t="shared" si="182"/>
        <v>0</v>
      </c>
      <c r="K287" s="93">
        <f t="shared" si="182"/>
        <v>0</v>
      </c>
      <c r="L287" s="93">
        <f t="shared" si="182"/>
        <v>0</v>
      </c>
      <c r="M287" s="93">
        <f t="shared" si="182"/>
        <v>0</v>
      </c>
      <c r="N287" s="93">
        <v>0</v>
      </c>
      <c r="O287" s="94">
        <f t="shared" si="182"/>
        <v>0</v>
      </c>
      <c r="P287" s="94">
        <f t="shared" si="182"/>
        <v>0</v>
      </c>
      <c r="Q287" s="94">
        <f t="shared" si="182"/>
        <v>0</v>
      </c>
      <c r="R287" s="93">
        <f t="shared" si="182"/>
        <v>0</v>
      </c>
      <c r="S287" s="93">
        <f t="shared" si="182"/>
        <v>0</v>
      </c>
      <c r="T287" s="93">
        <f t="shared" si="182"/>
        <v>0</v>
      </c>
      <c r="U287" s="93">
        <f t="shared" si="182"/>
        <v>0</v>
      </c>
      <c r="V287" s="94">
        <f t="shared" si="182"/>
        <v>0</v>
      </c>
      <c r="W287" s="96">
        <f t="shared" si="182"/>
        <v>0</v>
      </c>
      <c r="X287" s="93">
        <f t="shared" si="182"/>
        <v>0</v>
      </c>
      <c r="Y287" s="93">
        <f t="shared" si="182"/>
        <v>0</v>
      </c>
      <c r="Z287" s="93">
        <f t="shared" si="182"/>
        <v>0</v>
      </c>
      <c r="AA287" s="93">
        <f t="shared" si="182"/>
        <v>0</v>
      </c>
      <c r="AB287" s="93">
        <f t="shared" si="182"/>
        <v>0</v>
      </c>
      <c r="AC287" s="94">
        <f t="shared" si="182"/>
        <v>0</v>
      </c>
      <c r="AD287" s="94">
        <f t="shared" si="182"/>
        <v>0</v>
      </c>
      <c r="AE287" s="93">
        <f t="shared" si="182"/>
        <v>0</v>
      </c>
      <c r="AF287" s="138">
        <f t="shared" si="182"/>
        <v>0</v>
      </c>
      <c r="AG287" s="93">
        <f t="shared" si="182"/>
        <v>0</v>
      </c>
      <c r="AH287" s="139">
        <f t="shared" si="182"/>
        <v>0</v>
      </c>
      <c r="AI287" s="139">
        <f t="shared" si="182"/>
        <v>0</v>
      </c>
      <c r="AJ287" s="154">
        <f t="shared" si="182"/>
        <v>0</v>
      </c>
    </row>
    <row r="288" ht="18" customHeight="1" outlineLevel="1" spans="2:39">
      <c r="B288" s="161"/>
      <c r="C288" s="91" t="s">
        <v>188</v>
      </c>
      <c r="D288" s="92"/>
      <c r="E288" s="92"/>
      <c r="F288" s="93">
        <v>8</v>
      </c>
      <c r="G288" s="93">
        <v>8</v>
      </c>
      <c r="H288" s="94">
        <v>8</v>
      </c>
      <c r="I288" s="94">
        <v>8</v>
      </c>
      <c r="J288" s="93">
        <v>11</v>
      </c>
      <c r="K288" s="93">
        <v>12</v>
      </c>
      <c r="L288" s="93">
        <v>12</v>
      </c>
      <c r="M288" s="93">
        <v>3</v>
      </c>
      <c r="N288" s="93">
        <v>2</v>
      </c>
      <c r="O288" s="94"/>
      <c r="P288" s="94"/>
      <c r="Q288" s="94"/>
      <c r="R288" s="93"/>
      <c r="S288" s="93">
        <v>11.5</v>
      </c>
      <c r="T288" s="93">
        <v>11.5</v>
      </c>
      <c r="U288" s="93">
        <v>11.5</v>
      </c>
      <c r="V288" s="94">
        <v>11.5</v>
      </c>
      <c r="W288" s="96">
        <v>8</v>
      </c>
      <c r="X288" s="93">
        <v>11.5</v>
      </c>
      <c r="Y288" s="128">
        <v>11.5</v>
      </c>
      <c r="Z288" s="93">
        <v>11.5</v>
      </c>
      <c r="AA288" s="93">
        <v>11.5</v>
      </c>
      <c r="AB288" s="93">
        <v>11.5</v>
      </c>
      <c r="AC288" s="94">
        <v>11.5</v>
      </c>
      <c r="AD288" s="94">
        <v>8</v>
      </c>
      <c r="AE288" s="93">
        <v>11.5</v>
      </c>
      <c r="AF288" s="93">
        <v>11.5</v>
      </c>
      <c r="AG288" s="93">
        <v>11.5</v>
      </c>
      <c r="AH288" s="139">
        <v>11.5</v>
      </c>
      <c r="AI288" s="139">
        <v>11.5</v>
      </c>
      <c r="AJ288" s="154"/>
      <c r="AM288" s="191"/>
    </row>
    <row r="289" ht="18" customHeight="1" outlineLevel="1" spans="2:36">
      <c r="B289" s="161"/>
      <c r="C289" s="91" t="s">
        <v>189</v>
      </c>
      <c r="D289" s="92"/>
      <c r="E289" s="92"/>
      <c r="F289" s="93">
        <v>660</v>
      </c>
      <c r="G289" s="93">
        <v>660</v>
      </c>
      <c r="H289" s="94">
        <v>660</v>
      </c>
      <c r="I289" s="94">
        <v>660</v>
      </c>
      <c r="J289" s="93">
        <v>660</v>
      </c>
      <c r="K289" s="93">
        <v>660</v>
      </c>
      <c r="L289" s="93">
        <v>660</v>
      </c>
      <c r="M289" s="93">
        <v>660</v>
      </c>
      <c r="N289" s="93">
        <v>680</v>
      </c>
      <c r="O289" s="94">
        <v>680</v>
      </c>
      <c r="P289" s="94">
        <v>680</v>
      </c>
      <c r="Q289" s="94">
        <v>680</v>
      </c>
      <c r="R289" s="93">
        <v>680</v>
      </c>
      <c r="S289" s="93">
        <v>680</v>
      </c>
      <c r="T289" s="93">
        <v>680</v>
      </c>
      <c r="U289" s="93">
        <v>680</v>
      </c>
      <c r="V289" s="94">
        <v>680</v>
      </c>
      <c r="W289" s="96">
        <v>680</v>
      </c>
      <c r="X289" s="93">
        <v>680</v>
      </c>
      <c r="Y289" s="93">
        <v>680</v>
      </c>
      <c r="Z289" s="93">
        <v>680</v>
      </c>
      <c r="AA289" s="93">
        <v>680</v>
      </c>
      <c r="AB289" s="93">
        <v>680</v>
      </c>
      <c r="AC289" s="94">
        <v>660</v>
      </c>
      <c r="AD289" s="94">
        <v>660</v>
      </c>
      <c r="AE289" s="93">
        <v>660</v>
      </c>
      <c r="AF289" s="138">
        <v>660</v>
      </c>
      <c r="AG289" s="93">
        <v>660</v>
      </c>
      <c r="AH289" s="139">
        <v>660</v>
      </c>
      <c r="AI289" s="139">
        <v>660</v>
      </c>
      <c r="AJ289" s="154">
        <v>661</v>
      </c>
    </row>
    <row r="290" ht="18" customHeight="1" outlineLevel="1" spans="2:36">
      <c r="B290" s="161"/>
      <c r="C290" s="91" t="s">
        <v>190</v>
      </c>
      <c r="D290" s="92">
        <v>120000</v>
      </c>
      <c r="E290" s="92">
        <f>SUM(F290:AI290)</f>
        <v>0</v>
      </c>
      <c r="F290" s="95">
        <f t="shared" ref="F290:M290" si="183">F285*F288*F289</f>
        <v>0</v>
      </c>
      <c r="G290" s="95">
        <f t="shared" si="183"/>
        <v>0</v>
      </c>
      <c r="H290" s="96">
        <f t="shared" si="183"/>
        <v>0</v>
      </c>
      <c r="I290" s="96">
        <f t="shared" si="183"/>
        <v>0</v>
      </c>
      <c r="J290" s="95">
        <f t="shared" si="183"/>
        <v>0</v>
      </c>
      <c r="K290" s="95">
        <f t="shared" si="183"/>
        <v>0</v>
      </c>
      <c r="L290" s="95">
        <f t="shared" si="183"/>
        <v>0</v>
      </c>
      <c r="M290" s="95">
        <f t="shared" si="183"/>
        <v>0</v>
      </c>
      <c r="N290" s="95">
        <v>0</v>
      </c>
      <c r="O290" s="96">
        <f>O285*O288*O289*0.35</f>
        <v>0</v>
      </c>
      <c r="P290" s="96">
        <f>P285*P288*P289*0.45</f>
        <v>0</v>
      </c>
      <c r="Q290" s="96">
        <f>Q285*Q288*Q289*0.55</f>
        <v>0</v>
      </c>
      <c r="R290" s="95">
        <f>R285*R288*R289*0.65</f>
        <v>0</v>
      </c>
      <c r="S290" s="95">
        <f>S285*S288*S289*0.85</f>
        <v>0</v>
      </c>
      <c r="T290" s="95">
        <f>T285*T288*T289*0.7</f>
        <v>0</v>
      </c>
      <c r="U290" s="95">
        <f>U285*U288*U289*0.7</f>
        <v>0</v>
      </c>
      <c r="V290" s="96">
        <f>V285*V288*V289*0.75</f>
        <v>0</v>
      </c>
      <c r="W290" s="123">
        <f>W285*W288*W289*0.85</f>
        <v>0</v>
      </c>
      <c r="X290" s="128">
        <f>X285*X288*X289*0.75</f>
        <v>0</v>
      </c>
      <c r="Y290" s="128">
        <f>Y285*Y288*Y289*0.8</f>
        <v>0</v>
      </c>
      <c r="Z290" s="128">
        <f>Z285*Z288*Z289*0.85</f>
        <v>0</v>
      </c>
      <c r="AA290" s="128">
        <f>AA285*AA288*AA289*0.9</f>
        <v>0</v>
      </c>
      <c r="AB290" s="128">
        <f>AB285*AB288*AB289*0.95</f>
        <v>0</v>
      </c>
      <c r="AC290" s="96">
        <f>AC285*AC288*AC289</f>
        <v>0</v>
      </c>
      <c r="AD290" s="96">
        <f>AD285*AD288*AD289</f>
        <v>0</v>
      </c>
      <c r="AE290" s="95">
        <f t="shared" ref="AE290:AJ290" si="184">AE285*AE288*AE289</f>
        <v>0</v>
      </c>
      <c r="AF290" s="139">
        <f t="shared" si="184"/>
        <v>0</v>
      </c>
      <c r="AG290" s="95">
        <f t="shared" si="184"/>
        <v>0</v>
      </c>
      <c r="AH290" s="139">
        <f t="shared" si="184"/>
        <v>0</v>
      </c>
      <c r="AI290" s="139">
        <f t="shared" si="184"/>
        <v>0</v>
      </c>
      <c r="AJ290" s="154">
        <f t="shared" si="184"/>
        <v>0</v>
      </c>
    </row>
    <row r="291" ht="18" customHeight="1" outlineLevel="1" spans="2:36">
      <c r="B291" s="162"/>
      <c r="C291" s="91" t="s">
        <v>191</v>
      </c>
      <c r="D291" s="92"/>
      <c r="E291" s="108">
        <f>SUM(F291:AJ291)</f>
        <v>0</v>
      </c>
      <c r="F291" s="98"/>
      <c r="G291" s="99"/>
      <c r="H291" s="100"/>
      <c r="I291" s="100"/>
      <c r="J291" s="99"/>
      <c r="K291" s="99"/>
      <c r="L291" s="95"/>
      <c r="M291" s="95"/>
      <c r="N291" s="95"/>
      <c r="O291" s="115"/>
      <c r="P291" s="115"/>
      <c r="Q291" s="115"/>
      <c r="R291" s="95"/>
      <c r="S291" s="95"/>
      <c r="T291" s="95"/>
      <c r="U291" s="95"/>
      <c r="V291" s="96"/>
      <c r="W291" s="96"/>
      <c r="X291" s="95"/>
      <c r="Y291" s="128"/>
      <c r="Z291" s="95"/>
      <c r="AA291" s="95"/>
      <c r="AB291" s="95"/>
      <c r="AC291" s="96"/>
      <c r="AD291" s="96"/>
      <c r="AE291" s="95"/>
      <c r="AF291" s="139"/>
      <c r="AG291" s="95"/>
      <c r="AH291" s="139"/>
      <c r="AI291" s="139"/>
      <c r="AJ291" s="154"/>
    </row>
    <row r="292" ht="18" customHeight="1" outlineLevel="1" spans="2:36">
      <c r="B292" s="161"/>
      <c r="C292" s="91" t="s">
        <v>192</v>
      </c>
      <c r="D292" s="92"/>
      <c r="E292" s="92"/>
      <c r="F292" s="95">
        <f t="shared" ref="F292:AJ292" si="185">F291-F290</f>
        <v>0</v>
      </c>
      <c r="G292" s="95">
        <f t="shared" si="185"/>
        <v>0</v>
      </c>
      <c r="H292" s="96">
        <f t="shared" si="185"/>
        <v>0</v>
      </c>
      <c r="I292" s="96">
        <f t="shared" si="185"/>
        <v>0</v>
      </c>
      <c r="J292" s="95">
        <f t="shared" si="185"/>
        <v>0</v>
      </c>
      <c r="K292" s="95">
        <f t="shared" si="185"/>
        <v>0</v>
      </c>
      <c r="L292" s="95">
        <f t="shared" si="185"/>
        <v>0</v>
      </c>
      <c r="M292" s="95">
        <f t="shared" si="185"/>
        <v>0</v>
      </c>
      <c r="N292" s="95">
        <v>0</v>
      </c>
      <c r="O292" s="96">
        <f t="shared" si="185"/>
        <v>0</v>
      </c>
      <c r="P292" s="96">
        <f t="shared" si="185"/>
        <v>0</v>
      </c>
      <c r="Q292" s="96">
        <f t="shared" si="185"/>
        <v>0</v>
      </c>
      <c r="R292" s="95">
        <f t="shared" si="185"/>
        <v>0</v>
      </c>
      <c r="S292" s="95">
        <f t="shared" si="185"/>
        <v>0</v>
      </c>
      <c r="T292" s="95">
        <f t="shared" si="185"/>
        <v>0</v>
      </c>
      <c r="U292" s="95">
        <f t="shared" si="185"/>
        <v>0</v>
      </c>
      <c r="V292" s="96">
        <f t="shared" si="185"/>
        <v>0</v>
      </c>
      <c r="W292" s="123">
        <f t="shared" si="185"/>
        <v>0</v>
      </c>
      <c r="X292" s="128">
        <f t="shared" si="185"/>
        <v>0</v>
      </c>
      <c r="Y292" s="128">
        <f t="shared" si="185"/>
        <v>0</v>
      </c>
      <c r="Z292" s="128">
        <f t="shared" si="185"/>
        <v>0</v>
      </c>
      <c r="AA292" s="128">
        <f t="shared" si="185"/>
        <v>0</v>
      </c>
      <c r="AB292" s="128">
        <f t="shared" si="185"/>
        <v>0</v>
      </c>
      <c r="AC292" s="96">
        <f t="shared" si="185"/>
        <v>0</v>
      </c>
      <c r="AD292" s="96">
        <f t="shared" si="185"/>
        <v>0</v>
      </c>
      <c r="AE292" s="95">
        <f t="shared" si="185"/>
        <v>0</v>
      </c>
      <c r="AF292" s="139">
        <f t="shared" si="185"/>
        <v>0</v>
      </c>
      <c r="AG292" s="95">
        <f t="shared" si="185"/>
        <v>0</v>
      </c>
      <c r="AH292" s="139">
        <f t="shared" si="185"/>
        <v>0</v>
      </c>
      <c r="AI292" s="139">
        <f t="shared" si="185"/>
        <v>0</v>
      </c>
      <c r="AJ292" s="154">
        <f t="shared" si="185"/>
        <v>0</v>
      </c>
    </row>
    <row r="293" ht="18" customHeight="1" outlineLevel="1" spans="2:36">
      <c r="B293" s="161"/>
      <c r="C293" s="91" t="s">
        <v>193</v>
      </c>
      <c r="D293" s="92"/>
      <c r="E293" s="92"/>
      <c r="F293" s="95">
        <f t="shared" ref="F293:AJ293" si="186">E293+F291</f>
        <v>0</v>
      </c>
      <c r="G293" s="95">
        <f t="shared" si="186"/>
        <v>0</v>
      </c>
      <c r="H293" s="96">
        <f t="shared" si="186"/>
        <v>0</v>
      </c>
      <c r="I293" s="96">
        <f t="shared" si="186"/>
        <v>0</v>
      </c>
      <c r="J293" s="95">
        <f t="shared" si="186"/>
        <v>0</v>
      </c>
      <c r="K293" s="95">
        <f t="shared" si="186"/>
        <v>0</v>
      </c>
      <c r="L293" s="95">
        <f t="shared" si="186"/>
        <v>0</v>
      </c>
      <c r="M293" s="95">
        <f t="shared" si="186"/>
        <v>0</v>
      </c>
      <c r="N293" s="95">
        <v>0</v>
      </c>
      <c r="O293" s="96">
        <f t="shared" si="186"/>
        <v>0</v>
      </c>
      <c r="P293" s="96">
        <f t="shared" si="186"/>
        <v>0</v>
      </c>
      <c r="Q293" s="96">
        <f t="shared" si="186"/>
        <v>0</v>
      </c>
      <c r="R293" s="95">
        <f t="shared" si="186"/>
        <v>0</v>
      </c>
      <c r="S293" s="95">
        <f t="shared" si="186"/>
        <v>0</v>
      </c>
      <c r="T293" s="95">
        <f t="shared" si="186"/>
        <v>0</v>
      </c>
      <c r="U293" s="95">
        <f t="shared" si="186"/>
        <v>0</v>
      </c>
      <c r="V293" s="96">
        <f t="shared" si="186"/>
        <v>0</v>
      </c>
      <c r="W293" s="123">
        <f t="shared" si="186"/>
        <v>0</v>
      </c>
      <c r="X293" s="128">
        <f t="shared" si="186"/>
        <v>0</v>
      </c>
      <c r="Y293" s="128">
        <f t="shared" si="186"/>
        <v>0</v>
      </c>
      <c r="Z293" s="128">
        <f t="shared" si="186"/>
        <v>0</v>
      </c>
      <c r="AA293" s="128">
        <f t="shared" si="186"/>
        <v>0</v>
      </c>
      <c r="AB293" s="128">
        <f t="shared" si="186"/>
        <v>0</v>
      </c>
      <c r="AC293" s="96">
        <f t="shared" si="186"/>
        <v>0</v>
      </c>
      <c r="AD293" s="96">
        <f t="shared" si="186"/>
        <v>0</v>
      </c>
      <c r="AE293" s="95">
        <f t="shared" si="186"/>
        <v>0</v>
      </c>
      <c r="AF293" s="139">
        <f t="shared" si="186"/>
        <v>0</v>
      </c>
      <c r="AG293" s="95">
        <f t="shared" si="186"/>
        <v>0</v>
      </c>
      <c r="AH293" s="139">
        <f t="shared" si="186"/>
        <v>0</v>
      </c>
      <c r="AI293" s="139">
        <f t="shared" si="186"/>
        <v>0</v>
      </c>
      <c r="AJ293" s="154">
        <f t="shared" si="186"/>
        <v>0</v>
      </c>
    </row>
    <row r="294" ht="18" customHeight="1" spans="2:36">
      <c r="B294" s="164"/>
      <c r="C294" s="102" t="s">
        <v>194</v>
      </c>
      <c r="D294" s="103"/>
      <c r="E294" s="103"/>
      <c r="F294" s="104" t="str">
        <f t="shared" ref="F294:AJ294" si="187">IF(F291&gt;0,F291/F290,"")</f>
        <v/>
      </c>
      <c r="G294" s="104" t="str">
        <f t="shared" si="187"/>
        <v/>
      </c>
      <c r="H294" s="105" t="str">
        <f t="shared" si="187"/>
        <v/>
      </c>
      <c r="I294" s="105" t="str">
        <f t="shared" si="187"/>
        <v/>
      </c>
      <c r="J294" s="104" t="str">
        <f t="shared" si="187"/>
        <v/>
      </c>
      <c r="K294" s="104" t="str">
        <f t="shared" si="187"/>
        <v/>
      </c>
      <c r="L294" s="104" t="str">
        <f t="shared" si="187"/>
        <v/>
      </c>
      <c r="M294" s="104" t="str">
        <f t="shared" si="187"/>
        <v/>
      </c>
      <c r="N294" s="104" t="s">
        <v>195</v>
      </c>
      <c r="O294" s="105" t="str">
        <f t="shared" si="187"/>
        <v/>
      </c>
      <c r="P294" s="105" t="str">
        <f t="shared" si="187"/>
        <v/>
      </c>
      <c r="Q294" s="105" t="str">
        <f t="shared" si="187"/>
        <v/>
      </c>
      <c r="R294" s="104" t="str">
        <f t="shared" si="187"/>
        <v/>
      </c>
      <c r="S294" s="104" t="str">
        <f t="shared" si="187"/>
        <v/>
      </c>
      <c r="T294" s="104" t="str">
        <f t="shared" si="187"/>
        <v/>
      </c>
      <c r="U294" s="104" t="str">
        <f t="shared" si="187"/>
        <v/>
      </c>
      <c r="V294" s="105" t="str">
        <f t="shared" si="187"/>
        <v/>
      </c>
      <c r="W294" s="105" t="str">
        <f t="shared" si="187"/>
        <v/>
      </c>
      <c r="X294" s="104" t="str">
        <f t="shared" si="187"/>
        <v/>
      </c>
      <c r="Y294" s="104" t="str">
        <f t="shared" si="187"/>
        <v/>
      </c>
      <c r="Z294" s="142" t="str">
        <f t="shared" si="187"/>
        <v/>
      </c>
      <c r="AA294" s="104" t="str">
        <f t="shared" si="187"/>
        <v/>
      </c>
      <c r="AB294" s="104" t="str">
        <f t="shared" si="187"/>
        <v/>
      </c>
      <c r="AC294" s="105" t="str">
        <f t="shared" si="187"/>
        <v/>
      </c>
      <c r="AD294" s="105" t="str">
        <f t="shared" si="187"/>
        <v/>
      </c>
      <c r="AE294" s="104" t="str">
        <f t="shared" si="187"/>
        <v/>
      </c>
      <c r="AF294" s="141" t="str">
        <f t="shared" si="187"/>
        <v/>
      </c>
      <c r="AG294" s="104" t="str">
        <f t="shared" si="187"/>
        <v/>
      </c>
      <c r="AH294" s="155" t="str">
        <f t="shared" si="187"/>
        <v/>
      </c>
      <c r="AI294" s="155" t="str">
        <f t="shared" si="187"/>
        <v/>
      </c>
      <c r="AJ294" s="156" t="str">
        <f t="shared" si="187"/>
        <v/>
      </c>
    </row>
    <row r="295" ht="18" customHeight="1" outlineLevel="1" spans="2:36">
      <c r="B295" s="160" t="s">
        <v>208</v>
      </c>
      <c r="C295" s="86" t="s">
        <v>185</v>
      </c>
      <c r="D295" s="87"/>
      <c r="E295" s="87"/>
      <c r="F295" s="88"/>
      <c r="G295" s="88"/>
      <c r="H295" s="89"/>
      <c r="I295" s="89"/>
      <c r="J295" s="88"/>
      <c r="K295" s="88"/>
      <c r="L295" s="88"/>
      <c r="M295" s="88"/>
      <c r="N295" s="88"/>
      <c r="O295" s="89"/>
      <c r="P295" s="89"/>
      <c r="Q295" s="89"/>
      <c r="R295" s="88"/>
      <c r="S295" s="88"/>
      <c r="T295" s="88"/>
      <c r="U295" s="88"/>
      <c r="V295" s="89"/>
      <c r="W295" s="126"/>
      <c r="X295" s="127"/>
      <c r="Y295" s="127"/>
      <c r="Z295" s="127"/>
      <c r="AA295" s="127"/>
      <c r="AB295" s="127"/>
      <c r="AC295" s="89"/>
      <c r="AD295" s="89"/>
      <c r="AE295" s="88"/>
      <c r="AF295" s="137"/>
      <c r="AG295" s="88"/>
      <c r="AH295" s="157"/>
      <c r="AI295" s="157"/>
      <c r="AJ295" s="158"/>
    </row>
    <row r="296" ht="18" customHeight="1" outlineLevel="1" spans="2:36">
      <c r="B296" s="161"/>
      <c r="C296" s="91" t="s">
        <v>186</v>
      </c>
      <c r="D296" s="92"/>
      <c r="E296" s="92"/>
      <c r="F296" s="93">
        <v>46</v>
      </c>
      <c r="G296" s="93">
        <v>46</v>
      </c>
      <c r="H296" s="94">
        <v>46</v>
      </c>
      <c r="I296" s="94">
        <v>46</v>
      </c>
      <c r="J296" s="93">
        <v>46</v>
      </c>
      <c r="K296" s="93">
        <v>46</v>
      </c>
      <c r="L296" s="93">
        <v>46</v>
      </c>
      <c r="M296" s="93">
        <v>46</v>
      </c>
      <c r="N296" s="93">
        <v>44</v>
      </c>
      <c r="O296" s="94">
        <v>44</v>
      </c>
      <c r="P296" s="94">
        <v>44</v>
      </c>
      <c r="Q296" s="94">
        <v>44</v>
      </c>
      <c r="R296" s="93">
        <v>44</v>
      </c>
      <c r="S296" s="93">
        <v>46</v>
      </c>
      <c r="T296" s="93">
        <v>46</v>
      </c>
      <c r="U296" s="93">
        <v>46</v>
      </c>
      <c r="V296" s="94">
        <v>46</v>
      </c>
      <c r="W296" s="123">
        <v>46</v>
      </c>
      <c r="X296" s="128">
        <v>46</v>
      </c>
      <c r="Y296" s="128">
        <v>46</v>
      </c>
      <c r="Z296" s="128">
        <v>46</v>
      </c>
      <c r="AA296" s="128">
        <v>46</v>
      </c>
      <c r="AB296" s="128">
        <v>46</v>
      </c>
      <c r="AC296" s="94">
        <v>46</v>
      </c>
      <c r="AD296" s="94">
        <v>46</v>
      </c>
      <c r="AE296" s="93">
        <v>46</v>
      </c>
      <c r="AF296" s="138">
        <v>46</v>
      </c>
      <c r="AG296" s="93">
        <v>46</v>
      </c>
      <c r="AH296" s="139">
        <v>46</v>
      </c>
      <c r="AI296" s="139">
        <v>46</v>
      </c>
      <c r="AJ296" s="154">
        <v>46</v>
      </c>
    </row>
    <row r="297" ht="18" customHeight="1" outlineLevel="1" spans="2:36">
      <c r="B297" s="161"/>
      <c r="C297" s="91" t="s">
        <v>187</v>
      </c>
      <c r="D297" s="92"/>
      <c r="E297" s="92"/>
      <c r="F297" s="93">
        <f t="shared" ref="F297:AJ297" si="188">F295*F296</f>
        <v>0</v>
      </c>
      <c r="G297" s="93">
        <f t="shared" si="188"/>
        <v>0</v>
      </c>
      <c r="H297" s="94">
        <f t="shared" si="188"/>
        <v>0</v>
      </c>
      <c r="I297" s="94">
        <f t="shared" si="188"/>
        <v>0</v>
      </c>
      <c r="J297" s="93">
        <f t="shared" si="188"/>
        <v>0</v>
      </c>
      <c r="K297" s="93">
        <f t="shared" si="188"/>
        <v>0</v>
      </c>
      <c r="L297" s="93">
        <f t="shared" si="188"/>
        <v>0</v>
      </c>
      <c r="M297" s="93">
        <f t="shared" si="188"/>
        <v>0</v>
      </c>
      <c r="N297" s="93">
        <v>0</v>
      </c>
      <c r="O297" s="94">
        <f t="shared" si="188"/>
        <v>0</v>
      </c>
      <c r="P297" s="94">
        <f t="shared" si="188"/>
        <v>0</v>
      </c>
      <c r="Q297" s="94">
        <f t="shared" si="188"/>
        <v>0</v>
      </c>
      <c r="R297" s="93">
        <f t="shared" si="188"/>
        <v>0</v>
      </c>
      <c r="S297" s="93">
        <f t="shared" si="188"/>
        <v>0</v>
      </c>
      <c r="T297" s="93">
        <f t="shared" si="188"/>
        <v>0</v>
      </c>
      <c r="U297" s="93">
        <f t="shared" si="188"/>
        <v>0</v>
      </c>
      <c r="V297" s="94">
        <f t="shared" si="188"/>
        <v>0</v>
      </c>
      <c r="W297" s="96">
        <f t="shared" si="188"/>
        <v>0</v>
      </c>
      <c r="X297" s="93">
        <f t="shared" si="188"/>
        <v>0</v>
      </c>
      <c r="Y297" s="93">
        <f t="shared" si="188"/>
        <v>0</v>
      </c>
      <c r="Z297" s="93">
        <f t="shared" si="188"/>
        <v>0</v>
      </c>
      <c r="AA297" s="93">
        <f t="shared" si="188"/>
        <v>0</v>
      </c>
      <c r="AB297" s="93">
        <f t="shared" si="188"/>
        <v>0</v>
      </c>
      <c r="AC297" s="94">
        <f t="shared" si="188"/>
        <v>0</v>
      </c>
      <c r="AD297" s="94">
        <f t="shared" si="188"/>
        <v>0</v>
      </c>
      <c r="AE297" s="93">
        <f t="shared" si="188"/>
        <v>0</v>
      </c>
      <c r="AF297" s="138">
        <f t="shared" si="188"/>
        <v>0</v>
      </c>
      <c r="AG297" s="93">
        <f t="shared" si="188"/>
        <v>0</v>
      </c>
      <c r="AH297" s="139">
        <f t="shared" si="188"/>
        <v>0</v>
      </c>
      <c r="AI297" s="139">
        <f t="shared" si="188"/>
        <v>0</v>
      </c>
      <c r="AJ297" s="154">
        <f t="shared" si="188"/>
        <v>0</v>
      </c>
    </row>
    <row r="298" ht="18" customHeight="1" outlineLevel="1" spans="2:36">
      <c r="B298" s="161"/>
      <c r="C298" s="91" t="s">
        <v>188</v>
      </c>
      <c r="D298" s="92"/>
      <c r="E298" s="92"/>
      <c r="F298" s="93"/>
      <c r="G298" s="93"/>
      <c r="H298" s="94"/>
      <c r="I298" s="94"/>
      <c r="J298" s="93"/>
      <c r="K298" s="93">
        <v>6</v>
      </c>
      <c r="L298" s="93"/>
      <c r="M298" s="93">
        <v>12</v>
      </c>
      <c r="N298" s="93">
        <v>12</v>
      </c>
      <c r="O298" s="94">
        <v>13</v>
      </c>
      <c r="P298" s="94">
        <v>13</v>
      </c>
      <c r="Q298" s="94">
        <v>13</v>
      </c>
      <c r="R298" s="93">
        <v>13</v>
      </c>
      <c r="S298" s="93">
        <v>11</v>
      </c>
      <c r="T298" s="93"/>
      <c r="U298" s="93"/>
      <c r="V298" s="94"/>
      <c r="W298" s="96"/>
      <c r="X298" s="93"/>
      <c r="Y298" s="128"/>
      <c r="Z298" s="93"/>
      <c r="AA298" s="93"/>
      <c r="AB298" s="93"/>
      <c r="AC298" s="94"/>
      <c r="AD298" s="94">
        <v>6</v>
      </c>
      <c r="AE298" s="93">
        <v>8</v>
      </c>
      <c r="AF298" s="93">
        <v>11</v>
      </c>
      <c r="AG298" s="93">
        <v>8</v>
      </c>
      <c r="AH298" s="139">
        <v>12</v>
      </c>
      <c r="AI298" s="139">
        <v>12</v>
      </c>
      <c r="AJ298" s="154">
        <v>12</v>
      </c>
    </row>
    <row r="299" ht="18" customHeight="1" outlineLevel="1" spans="2:36">
      <c r="B299" s="161"/>
      <c r="C299" s="91" t="s">
        <v>189</v>
      </c>
      <c r="D299" s="92"/>
      <c r="E299" s="92"/>
      <c r="F299" s="93">
        <v>660</v>
      </c>
      <c r="G299" s="93">
        <v>660</v>
      </c>
      <c r="H299" s="94">
        <v>660</v>
      </c>
      <c r="I299" s="94">
        <v>660</v>
      </c>
      <c r="J299" s="93">
        <v>660</v>
      </c>
      <c r="K299" s="93">
        <v>660</v>
      </c>
      <c r="L299" s="93">
        <v>660</v>
      </c>
      <c r="M299" s="93">
        <v>660</v>
      </c>
      <c r="N299" s="93">
        <v>660</v>
      </c>
      <c r="O299" s="94">
        <v>660</v>
      </c>
      <c r="P299" s="94">
        <v>660</v>
      </c>
      <c r="Q299" s="94">
        <v>660</v>
      </c>
      <c r="R299" s="93">
        <v>660</v>
      </c>
      <c r="S299" s="93">
        <v>660</v>
      </c>
      <c r="T299" s="93">
        <v>660</v>
      </c>
      <c r="U299" s="93">
        <v>660</v>
      </c>
      <c r="V299" s="94">
        <v>660</v>
      </c>
      <c r="W299" s="96">
        <v>660</v>
      </c>
      <c r="X299" s="93">
        <v>660</v>
      </c>
      <c r="Y299" s="128">
        <v>660</v>
      </c>
      <c r="Z299" s="93">
        <v>660</v>
      </c>
      <c r="AA299" s="93">
        <v>660</v>
      </c>
      <c r="AB299" s="93">
        <v>660</v>
      </c>
      <c r="AC299" s="94">
        <v>660</v>
      </c>
      <c r="AD299" s="94">
        <v>650</v>
      </c>
      <c r="AE299" s="93">
        <v>650</v>
      </c>
      <c r="AF299" s="138">
        <v>650</v>
      </c>
      <c r="AG299" s="93">
        <v>650</v>
      </c>
      <c r="AH299" s="139">
        <v>650</v>
      </c>
      <c r="AI299" s="139">
        <v>650</v>
      </c>
      <c r="AJ299" s="154">
        <v>650</v>
      </c>
    </row>
    <row r="300" ht="18" customHeight="1" outlineLevel="1" spans="2:36">
      <c r="B300" s="161"/>
      <c r="C300" s="91" t="s">
        <v>190</v>
      </c>
      <c r="D300" s="92">
        <v>0</v>
      </c>
      <c r="E300" s="92">
        <f>SUM(F300:AJ300)</f>
        <v>0</v>
      </c>
      <c r="F300" s="95">
        <f t="shared" ref="F300:L300" si="189">F295*F298*F299</f>
        <v>0</v>
      </c>
      <c r="G300" s="95">
        <f t="shared" si="189"/>
        <v>0</v>
      </c>
      <c r="H300" s="96">
        <f t="shared" si="189"/>
        <v>0</v>
      </c>
      <c r="I300" s="96">
        <f t="shared" si="189"/>
        <v>0</v>
      </c>
      <c r="J300" s="95">
        <f t="shared" si="189"/>
        <v>0</v>
      </c>
      <c r="K300" s="95">
        <f t="shared" si="189"/>
        <v>0</v>
      </c>
      <c r="L300" s="95">
        <f t="shared" si="189"/>
        <v>0</v>
      </c>
      <c r="M300" s="95">
        <f>M295*M298*M299*0.45</f>
        <v>0</v>
      </c>
      <c r="N300" s="95">
        <v>0</v>
      </c>
      <c r="O300" s="96">
        <f>O295*O298*O299*0.65</f>
        <v>0</v>
      </c>
      <c r="P300" s="96">
        <f>P295*P298*P299*0.45</f>
        <v>0</v>
      </c>
      <c r="Q300" s="96">
        <f>Q295*Q298*Q299*0.55</f>
        <v>0</v>
      </c>
      <c r="R300" s="95">
        <f>R295*R298*R299*0.65</f>
        <v>0</v>
      </c>
      <c r="S300" s="95">
        <f t="shared" ref="S300:V300" si="190">S295*S298*S299</f>
        <v>0</v>
      </c>
      <c r="T300" s="95">
        <f t="shared" si="190"/>
        <v>0</v>
      </c>
      <c r="U300" s="95">
        <f t="shared" si="190"/>
        <v>0</v>
      </c>
      <c r="V300" s="96">
        <f t="shared" si="190"/>
        <v>0</v>
      </c>
      <c r="W300" s="123">
        <f>W295*W298*W299*0.35</f>
        <v>0</v>
      </c>
      <c r="X300" s="128">
        <f>X295*X298*X299</f>
        <v>0</v>
      </c>
      <c r="Y300" s="128">
        <f>Y295*Y298*Y299*0.45</f>
        <v>0</v>
      </c>
      <c r="Z300" s="128">
        <f>Z295*Z298*Z299*0.55</f>
        <v>0</v>
      </c>
      <c r="AA300" s="128">
        <f>AA295*AA298*AA299*0.65</f>
        <v>0</v>
      </c>
      <c r="AB300" s="128">
        <f>AB295*AB298*AB299*0.75</f>
        <v>0</v>
      </c>
      <c r="AC300" s="96">
        <f>AC295*AC298*AC299*0.85</f>
        <v>0</v>
      </c>
      <c r="AD300" s="96">
        <f>AD295*AD298*AD299*0.35</f>
        <v>0</v>
      </c>
      <c r="AE300" s="95">
        <f>AE295*AE298*AE299*0.45</f>
        <v>0</v>
      </c>
      <c r="AF300" s="139">
        <f>AF295*AF298*AF299*0.55</f>
        <v>0</v>
      </c>
      <c r="AG300" s="95">
        <f>AG295*AG298*AG299*0.65</f>
        <v>0</v>
      </c>
      <c r="AH300" s="139">
        <f>AH295*AH298*AH299*0.75</f>
        <v>0</v>
      </c>
      <c r="AI300" s="139">
        <f>AI295*AI298*AI299*0.85</f>
        <v>0</v>
      </c>
      <c r="AJ300" s="154">
        <f>AJ295*AJ298*AJ299*0.95</f>
        <v>0</v>
      </c>
    </row>
    <row r="301" ht="18" customHeight="1" outlineLevel="1" spans="2:36">
      <c r="B301" s="162"/>
      <c r="C301" s="91" t="s">
        <v>191</v>
      </c>
      <c r="D301" s="92"/>
      <c r="E301" s="108">
        <f>SUM(F301:AJ301)</f>
        <v>0</v>
      </c>
      <c r="F301" s="98"/>
      <c r="G301" s="99"/>
      <c r="H301" s="100"/>
      <c r="I301" s="100"/>
      <c r="J301" s="99"/>
      <c r="K301" s="99"/>
      <c r="L301" s="95"/>
      <c r="M301" s="95"/>
      <c r="N301" s="95"/>
      <c r="O301" s="115"/>
      <c r="P301" s="115"/>
      <c r="Q301" s="115"/>
      <c r="R301" s="95"/>
      <c r="S301" s="95"/>
      <c r="T301" s="95"/>
      <c r="U301" s="95"/>
      <c r="V301" s="96"/>
      <c r="W301" s="96"/>
      <c r="X301" s="95"/>
      <c r="Y301" s="128"/>
      <c r="Z301" s="95"/>
      <c r="AA301" s="95"/>
      <c r="AB301" s="95"/>
      <c r="AC301" s="96"/>
      <c r="AD301" s="96"/>
      <c r="AE301" s="95"/>
      <c r="AF301" s="139"/>
      <c r="AG301" s="95"/>
      <c r="AH301" s="139"/>
      <c r="AI301" s="139"/>
      <c r="AJ301" s="154"/>
    </row>
    <row r="302" ht="18" customHeight="1" outlineLevel="1" spans="2:36">
      <c r="B302" s="161"/>
      <c r="C302" s="91" t="s">
        <v>192</v>
      </c>
      <c r="D302" s="92"/>
      <c r="E302" s="92"/>
      <c r="F302" s="95">
        <f t="shared" ref="F302:H302" si="191">F301-F300</f>
        <v>0</v>
      </c>
      <c r="G302" s="95">
        <f t="shared" si="191"/>
        <v>0</v>
      </c>
      <c r="H302" s="96">
        <f t="shared" si="191"/>
        <v>0</v>
      </c>
      <c r="I302" s="96"/>
      <c r="J302" s="95">
        <f t="shared" ref="J302:AJ302" si="192">J301-J300</f>
        <v>0</v>
      </c>
      <c r="K302" s="95">
        <f t="shared" si="192"/>
        <v>0</v>
      </c>
      <c r="L302" s="95">
        <f t="shared" si="192"/>
        <v>0</v>
      </c>
      <c r="M302" s="95">
        <f t="shared" si="192"/>
        <v>0</v>
      </c>
      <c r="N302" s="95">
        <v>0</v>
      </c>
      <c r="O302" s="96">
        <f t="shared" si="192"/>
        <v>0</v>
      </c>
      <c r="P302" s="96">
        <f t="shared" si="192"/>
        <v>0</v>
      </c>
      <c r="Q302" s="96">
        <f t="shared" si="192"/>
        <v>0</v>
      </c>
      <c r="R302" s="95">
        <f t="shared" si="192"/>
        <v>0</v>
      </c>
      <c r="S302" s="95">
        <f t="shared" si="192"/>
        <v>0</v>
      </c>
      <c r="T302" s="95">
        <f t="shared" si="192"/>
        <v>0</v>
      </c>
      <c r="U302" s="95">
        <f t="shared" si="192"/>
        <v>0</v>
      </c>
      <c r="V302" s="96">
        <f t="shared" si="192"/>
        <v>0</v>
      </c>
      <c r="W302" s="123">
        <f t="shared" si="192"/>
        <v>0</v>
      </c>
      <c r="X302" s="128">
        <f t="shared" si="192"/>
        <v>0</v>
      </c>
      <c r="Y302" s="128">
        <f t="shared" si="192"/>
        <v>0</v>
      </c>
      <c r="Z302" s="128">
        <f t="shared" si="192"/>
        <v>0</v>
      </c>
      <c r="AA302" s="128">
        <f t="shared" si="192"/>
        <v>0</v>
      </c>
      <c r="AB302" s="128">
        <f t="shared" si="192"/>
        <v>0</v>
      </c>
      <c r="AC302" s="96">
        <f t="shared" si="192"/>
        <v>0</v>
      </c>
      <c r="AD302" s="96">
        <f t="shared" si="192"/>
        <v>0</v>
      </c>
      <c r="AE302" s="95">
        <f t="shared" si="192"/>
        <v>0</v>
      </c>
      <c r="AF302" s="139">
        <f t="shared" si="192"/>
        <v>0</v>
      </c>
      <c r="AG302" s="95">
        <f t="shared" si="192"/>
        <v>0</v>
      </c>
      <c r="AH302" s="139">
        <f t="shared" si="192"/>
        <v>0</v>
      </c>
      <c r="AI302" s="139">
        <f t="shared" si="192"/>
        <v>0</v>
      </c>
      <c r="AJ302" s="154">
        <f t="shared" si="192"/>
        <v>0</v>
      </c>
    </row>
    <row r="303" ht="18" customHeight="1" outlineLevel="1" spans="2:36">
      <c r="B303" s="161"/>
      <c r="C303" s="91" t="s">
        <v>193</v>
      </c>
      <c r="D303" s="92"/>
      <c r="E303" s="92"/>
      <c r="F303" s="95">
        <f t="shared" ref="F303:H303" si="193">E303+F301</f>
        <v>0</v>
      </c>
      <c r="G303" s="95">
        <f t="shared" si="193"/>
        <v>0</v>
      </c>
      <c r="H303" s="96">
        <f t="shared" si="193"/>
        <v>0</v>
      </c>
      <c r="I303" s="96"/>
      <c r="J303" s="95">
        <f t="shared" ref="J303:AJ303" si="194">I303+J301</f>
        <v>0</v>
      </c>
      <c r="K303" s="95">
        <f t="shared" si="194"/>
        <v>0</v>
      </c>
      <c r="L303" s="95">
        <f t="shared" si="194"/>
        <v>0</v>
      </c>
      <c r="M303" s="95">
        <f t="shared" si="194"/>
        <v>0</v>
      </c>
      <c r="N303" s="95">
        <v>0</v>
      </c>
      <c r="O303" s="96">
        <f t="shared" si="194"/>
        <v>0</v>
      </c>
      <c r="P303" s="96">
        <f t="shared" si="194"/>
        <v>0</v>
      </c>
      <c r="Q303" s="96">
        <f t="shared" si="194"/>
        <v>0</v>
      </c>
      <c r="R303" s="95">
        <f t="shared" si="194"/>
        <v>0</v>
      </c>
      <c r="S303" s="95">
        <f t="shared" si="194"/>
        <v>0</v>
      </c>
      <c r="T303" s="95">
        <f t="shared" si="194"/>
        <v>0</v>
      </c>
      <c r="U303" s="95">
        <f t="shared" si="194"/>
        <v>0</v>
      </c>
      <c r="V303" s="96">
        <f t="shared" si="194"/>
        <v>0</v>
      </c>
      <c r="W303" s="123">
        <f t="shared" si="194"/>
        <v>0</v>
      </c>
      <c r="X303" s="128">
        <f t="shared" si="194"/>
        <v>0</v>
      </c>
      <c r="Y303" s="128">
        <f t="shared" si="194"/>
        <v>0</v>
      </c>
      <c r="Z303" s="128">
        <f t="shared" si="194"/>
        <v>0</v>
      </c>
      <c r="AA303" s="128">
        <f t="shared" si="194"/>
        <v>0</v>
      </c>
      <c r="AB303" s="128">
        <f t="shared" si="194"/>
        <v>0</v>
      </c>
      <c r="AC303" s="96">
        <f t="shared" si="194"/>
        <v>0</v>
      </c>
      <c r="AD303" s="96">
        <f t="shared" si="194"/>
        <v>0</v>
      </c>
      <c r="AE303" s="95">
        <f t="shared" si="194"/>
        <v>0</v>
      </c>
      <c r="AF303" s="139">
        <f t="shared" si="194"/>
        <v>0</v>
      </c>
      <c r="AG303" s="95">
        <f t="shared" si="194"/>
        <v>0</v>
      </c>
      <c r="AH303" s="139">
        <f t="shared" si="194"/>
        <v>0</v>
      </c>
      <c r="AI303" s="139">
        <f t="shared" si="194"/>
        <v>0</v>
      </c>
      <c r="AJ303" s="154">
        <f t="shared" si="194"/>
        <v>0</v>
      </c>
    </row>
    <row r="304" ht="18" customHeight="1" spans="2:36">
      <c r="B304" s="164"/>
      <c r="C304" s="102" t="s">
        <v>194</v>
      </c>
      <c r="D304" s="103"/>
      <c r="E304" s="103"/>
      <c r="F304" s="104" t="str">
        <f t="shared" ref="F304:AJ304" si="195">IF(F301&gt;0,F301/F300,"")</f>
        <v/>
      </c>
      <c r="G304" s="104" t="str">
        <f t="shared" si="195"/>
        <v/>
      </c>
      <c r="H304" s="105" t="str">
        <f t="shared" si="195"/>
        <v/>
      </c>
      <c r="I304" s="105" t="str">
        <f t="shared" si="195"/>
        <v/>
      </c>
      <c r="J304" s="104" t="str">
        <f t="shared" si="195"/>
        <v/>
      </c>
      <c r="K304" s="104" t="str">
        <f t="shared" si="195"/>
        <v/>
      </c>
      <c r="L304" s="104" t="str">
        <f t="shared" si="195"/>
        <v/>
      </c>
      <c r="M304" s="104" t="str">
        <f t="shared" si="195"/>
        <v/>
      </c>
      <c r="N304" s="104" t="s">
        <v>195</v>
      </c>
      <c r="O304" s="105" t="str">
        <f t="shared" si="195"/>
        <v/>
      </c>
      <c r="P304" s="105" t="str">
        <f t="shared" si="195"/>
        <v/>
      </c>
      <c r="Q304" s="105" t="str">
        <f t="shared" si="195"/>
        <v/>
      </c>
      <c r="R304" s="104" t="str">
        <f t="shared" si="195"/>
        <v/>
      </c>
      <c r="S304" s="104" t="str">
        <f t="shared" si="195"/>
        <v/>
      </c>
      <c r="T304" s="104" t="str">
        <f t="shared" si="195"/>
        <v/>
      </c>
      <c r="U304" s="104" t="str">
        <f t="shared" si="195"/>
        <v/>
      </c>
      <c r="V304" s="105" t="str">
        <f t="shared" si="195"/>
        <v/>
      </c>
      <c r="W304" s="105" t="str">
        <f t="shared" si="195"/>
        <v/>
      </c>
      <c r="X304" s="104" t="str">
        <f t="shared" si="195"/>
        <v/>
      </c>
      <c r="Y304" s="188" t="str">
        <f t="shared" si="195"/>
        <v/>
      </c>
      <c r="Z304" s="142" t="str">
        <f t="shared" si="195"/>
        <v/>
      </c>
      <c r="AA304" s="104" t="str">
        <f t="shared" si="195"/>
        <v/>
      </c>
      <c r="AB304" s="104" t="str">
        <f t="shared" si="195"/>
        <v/>
      </c>
      <c r="AC304" s="105" t="str">
        <f t="shared" si="195"/>
        <v/>
      </c>
      <c r="AD304" s="105"/>
      <c r="AE304" s="104"/>
      <c r="AF304" s="141"/>
      <c r="AG304" s="104"/>
      <c r="AH304" s="155"/>
      <c r="AI304" s="155"/>
      <c r="AJ304" s="156" t="str">
        <f t="shared" si="195"/>
        <v/>
      </c>
    </row>
    <row r="305" ht="18" customHeight="1" outlineLevel="1" spans="2:36">
      <c r="B305" s="160" t="s">
        <v>209</v>
      </c>
      <c r="C305" s="86" t="s">
        <v>185</v>
      </c>
      <c r="D305" s="87"/>
      <c r="E305" s="87"/>
      <c r="F305" s="88"/>
      <c r="G305" s="88"/>
      <c r="H305" s="89"/>
      <c r="I305" s="89"/>
      <c r="J305" s="88">
        <v>1</v>
      </c>
      <c r="K305" s="88">
        <v>1</v>
      </c>
      <c r="L305" s="88">
        <v>1</v>
      </c>
      <c r="M305" s="88">
        <v>1</v>
      </c>
      <c r="N305" s="88">
        <v>1</v>
      </c>
      <c r="O305" s="89"/>
      <c r="P305" s="89">
        <v>1</v>
      </c>
      <c r="Q305" s="89">
        <v>1</v>
      </c>
      <c r="R305" s="88"/>
      <c r="S305" s="88">
        <v>0.25</v>
      </c>
      <c r="T305" s="88">
        <v>0.5</v>
      </c>
      <c r="U305" s="88">
        <v>0.1</v>
      </c>
      <c r="V305" s="89"/>
      <c r="W305" s="126"/>
      <c r="X305" s="127"/>
      <c r="Y305" s="127"/>
      <c r="Z305" s="127"/>
      <c r="AA305" s="127"/>
      <c r="AB305" s="127"/>
      <c r="AC305" s="89"/>
      <c r="AD305" s="89"/>
      <c r="AE305" s="88"/>
      <c r="AF305" s="137"/>
      <c r="AG305" s="88"/>
      <c r="AH305" s="157"/>
      <c r="AI305" s="157"/>
      <c r="AJ305" s="158"/>
    </row>
    <row r="306" ht="18" customHeight="1" outlineLevel="1" spans="2:36">
      <c r="B306" s="161"/>
      <c r="C306" s="91" t="s">
        <v>186</v>
      </c>
      <c r="D306" s="92"/>
      <c r="E306" s="92"/>
      <c r="F306" s="93">
        <v>46</v>
      </c>
      <c r="G306" s="93">
        <v>46</v>
      </c>
      <c r="H306" s="94">
        <v>46</v>
      </c>
      <c r="I306" s="94">
        <v>46</v>
      </c>
      <c r="J306" s="93">
        <v>46</v>
      </c>
      <c r="K306" s="93">
        <v>46</v>
      </c>
      <c r="L306" s="93">
        <v>46</v>
      </c>
      <c r="M306" s="93">
        <v>46</v>
      </c>
      <c r="N306" s="93">
        <v>46</v>
      </c>
      <c r="O306" s="94">
        <v>46</v>
      </c>
      <c r="P306" s="94">
        <v>46</v>
      </c>
      <c r="Q306" s="94">
        <v>46</v>
      </c>
      <c r="R306" s="93">
        <v>46</v>
      </c>
      <c r="S306" s="93">
        <v>46</v>
      </c>
      <c r="T306" s="93">
        <v>46</v>
      </c>
      <c r="U306" s="93">
        <v>46</v>
      </c>
      <c r="V306" s="94">
        <v>46</v>
      </c>
      <c r="W306" s="123">
        <v>46</v>
      </c>
      <c r="X306" s="128">
        <v>46</v>
      </c>
      <c r="Y306" s="128">
        <v>46</v>
      </c>
      <c r="Z306" s="128">
        <v>46</v>
      </c>
      <c r="AA306" s="128">
        <v>46</v>
      </c>
      <c r="AB306" s="128">
        <v>46</v>
      </c>
      <c r="AC306" s="94">
        <v>46</v>
      </c>
      <c r="AD306" s="94">
        <v>46</v>
      </c>
      <c r="AE306" s="93">
        <v>46</v>
      </c>
      <c r="AF306" s="138">
        <v>46</v>
      </c>
      <c r="AG306" s="93">
        <v>46</v>
      </c>
      <c r="AH306" s="139">
        <v>46</v>
      </c>
      <c r="AI306" s="139">
        <v>46</v>
      </c>
      <c r="AJ306" s="154">
        <v>46</v>
      </c>
    </row>
    <row r="307" ht="18" customHeight="1" outlineLevel="1" spans="2:36">
      <c r="B307" s="161"/>
      <c r="C307" s="91" t="s">
        <v>187</v>
      </c>
      <c r="D307" s="92"/>
      <c r="E307" s="92"/>
      <c r="F307" s="93">
        <f t="shared" ref="F307:AJ307" si="196">F305*F306</f>
        <v>0</v>
      </c>
      <c r="G307" s="93">
        <f t="shared" si="196"/>
        <v>0</v>
      </c>
      <c r="H307" s="94">
        <f t="shared" si="196"/>
        <v>0</v>
      </c>
      <c r="I307" s="94">
        <f t="shared" si="196"/>
        <v>0</v>
      </c>
      <c r="J307" s="93">
        <f t="shared" si="196"/>
        <v>46</v>
      </c>
      <c r="K307" s="93">
        <f t="shared" si="196"/>
        <v>46</v>
      </c>
      <c r="L307" s="93">
        <f t="shared" si="196"/>
        <v>46</v>
      </c>
      <c r="M307" s="93">
        <f t="shared" si="196"/>
        <v>46</v>
      </c>
      <c r="N307" s="93">
        <v>46</v>
      </c>
      <c r="O307" s="94">
        <f t="shared" si="196"/>
        <v>0</v>
      </c>
      <c r="P307" s="94">
        <f t="shared" si="196"/>
        <v>46</v>
      </c>
      <c r="Q307" s="94">
        <f t="shared" si="196"/>
        <v>46</v>
      </c>
      <c r="R307" s="93">
        <f t="shared" si="196"/>
        <v>0</v>
      </c>
      <c r="S307" s="93">
        <f t="shared" si="196"/>
        <v>11.5</v>
      </c>
      <c r="T307" s="93">
        <f t="shared" si="196"/>
        <v>23</v>
      </c>
      <c r="U307" s="93">
        <f t="shared" si="196"/>
        <v>4.6</v>
      </c>
      <c r="V307" s="94">
        <f t="shared" si="196"/>
        <v>0</v>
      </c>
      <c r="W307" s="96">
        <f t="shared" si="196"/>
        <v>0</v>
      </c>
      <c r="X307" s="93">
        <f t="shared" si="196"/>
        <v>0</v>
      </c>
      <c r="Y307" s="93">
        <f t="shared" si="196"/>
        <v>0</v>
      </c>
      <c r="Z307" s="93">
        <f t="shared" si="196"/>
        <v>0</v>
      </c>
      <c r="AA307" s="93">
        <f t="shared" si="196"/>
        <v>0</v>
      </c>
      <c r="AB307" s="93">
        <f t="shared" si="196"/>
        <v>0</v>
      </c>
      <c r="AC307" s="94">
        <f t="shared" si="196"/>
        <v>0</v>
      </c>
      <c r="AD307" s="94">
        <f t="shared" si="196"/>
        <v>0</v>
      </c>
      <c r="AE307" s="93">
        <f t="shared" si="196"/>
        <v>0</v>
      </c>
      <c r="AF307" s="138">
        <f t="shared" si="196"/>
        <v>0</v>
      </c>
      <c r="AG307" s="93">
        <f t="shared" si="196"/>
        <v>0</v>
      </c>
      <c r="AH307" s="139">
        <f t="shared" si="196"/>
        <v>0</v>
      </c>
      <c r="AI307" s="139">
        <f t="shared" si="196"/>
        <v>0</v>
      </c>
      <c r="AJ307" s="154">
        <f t="shared" si="196"/>
        <v>0</v>
      </c>
    </row>
    <row r="308" ht="18" customHeight="1" outlineLevel="1" spans="2:36">
      <c r="B308" s="161"/>
      <c r="C308" s="91" t="s">
        <v>188</v>
      </c>
      <c r="D308" s="92"/>
      <c r="E308" s="92"/>
      <c r="F308" s="93">
        <v>6</v>
      </c>
      <c r="G308" s="93">
        <v>2</v>
      </c>
      <c r="H308" s="94">
        <v>8</v>
      </c>
      <c r="I308" s="94">
        <v>11.5</v>
      </c>
      <c r="J308" s="93">
        <v>1</v>
      </c>
      <c r="K308" s="93">
        <v>11.5</v>
      </c>
      <c r="L308" s="93">
        <v>11.5</v>
      </c>
      <c r="M308" s="93">
        <v>11.5</v>
      </c>
      <c r="N308" s="93">
        <v>11.5</v>
      </c>
      <c r="O308" s="94">
        <v>13</v>
      </c>
      <c r="P308" s="94">
        <v>11.5</v>
      </c>
      <c r="Q308" s="94">
        <v>2</v>
      </c>
      <c r="R308" s="93">
        <v>13</v>
      </c>
      <c r="S308" s="93">
        <v>8</v>
      </c>
      <c r="T308" s="93">
        <v>8</v>
      </c>
      <c r="U308" s="93">
        <v>11</v>
      </c>
      <c r="V308" s="94"/>
      <c r="W308" s="96"/>
      <c r="X308" s="93"/>
      <c r="Y308" s="128"/>
      <c r="Z308" s="93"/>
      <c r="AA308" s="93"/>
      <c r="AB308" s="93">
        <v>8</v>
      </c>
      <c r="AC308" s="94">
        <v>8</v>
      </c>
      <c r="AD308" s="94">
        <v>8</v>
      </c>
      <c r="AE308" s="93">
        <v>8</v>
      </c>
      <c r="AF308" s="93">
        <v>11</v>
      </c>
      <c r="AG308" s="93">
        <v>8</v>
      </c>
      <c r="AH308" s="139">
        <v>12</v>
      </c>
      <c r="AI308" s="139">
        <v>12</v>
      </c>
      <c r="AJ308" s="154">
        <v>12</v>
      </c>
    </row>
    <row r="309" ht="18" customHeight="1" outlineLevel="1" spans="2:36">
      <c r="B309" s="161"/>
      <c r="C309" s="91" t="s">
        <v>189</v>
      </c>
      <c r="D309" s="92"/>
      <c r="E309" s="92"/>
      <c r="F309" s="93">
        <v>660</v>
      </c>
      <c r="G309" s="93">
        <v>680</v>
      </c>
      <c r="H309" s="94">
        <v>680</v>
      </c>
      <c r="I309" s="94">
        <v>680</v>
      </c>
      <c r="J309" s="93">
        <v>680</v>
      </c>
      <c r="K309" s="93">
        <v>680</v>
      </c>
      <c r="L309" s="93">
        <v>660</v>
      </c>
      <c r="M309" s="93">
        <v>660</v>
      </c>
      <c r="N309" s="93">
        <v>680</v>
      </c>
      <c r="O309" s="94">
        <v>680</v>
      </c>
      <c r="P309" s="94">
        <v>660</v>
      </c>
      <c r="Q309" s="94">
        <v>660</v>
      </c>
      <c r="R309" s="93">
        <v>660</v>
      </c>
      <c r="S309" s="93">
        <v>660</v>
      </c>
      <c r="T309" s="93">
        <v>660</v>
      </c>
      <c r="U309" s="93">
        <v>660</v>
      </c>
      <c r="V309" s="94">
        <v>660</v>
      </c>
      <c r="W309" s="96">
        <v>660</v>
      </c>
      <c r="X309" s="93">
        <v>660</v>
      </c>
      <c r="Y309" s="128">
        <v>660</v>
      </c>
      <c r="Z309" s="93">
        <v>660</v>
      </c>
      <c r="AA309" s="93">
        <v>660</v>
      </c>
      <c r="AB309" s="93">
        <v>660</v>
      </c>
      <c r="AC309" s="94">
        <v>660</v>
      </c>
      <c r="AD309" s="94">
        <v>650</v>
      </c>
      <c r="AE309" s="93">
        <v>650</v>
      </c>
      <c r="AF309" s="138">
        <v>650</v>
      </c>
      <c r="AG309" s="93">
        <v>650</v>
      </c>
      <c r="AH309" s="139">
        <v>650</v>
      </c>
      <c r="AI309" s="139">
        <v>650</v>
      </c>
      <c r="AJ309" s="154">
        <v>650</v>
      </c>
    </row>
    <row r="310" ht="18" customHeight="1" outlineLevel="1" spans="2:36">
      <c r="B310" s="161"/>
      <c r="C310" s="91" t="s">
        <v>190</v>
      </c>
      <c r="D310" s="92">
        <v>0</v>
      </c>
      <c r="E310" s="92">
        <f>SUM(F310:AJ310)</f>
        <v>35096.5</v>
      </c>
      <c r="F310" s="95">
        <f>F305*F308*F309*0.45</f>
        <v>0</v>
      </c>
      <c r="G310" s="95">
        <f>G305*G308*G309*0.45</f>
        <v>0</v>
      </c>
      <c r="H310" s="96">
        <f>H305*H308*H309*0.45</f>
        <v>0</v>
      </c>
      <c r="I310" s="96">
        <f>I305*I308*I309*0.6</f>
        <v>0</v>
      </c>
      <c r="J310" s="95">
        <f>J305*J308*J309*0.45</f>
        <v>306</v>
      </c>
      <c r="K310" s="95">
        <f>K305*K308*K309*0.55</f>
        <v>4301</v>
      </c>
      <c r="L310" s="95">
        <f>L305*L308*L309*0.65</f>
        <v>4933.5</v>
      </c>
      <c r="M310" s="95">
        <f>M305*M308*M309*0.75</f>
        <v>5692.5</v>
      </c>
      <c r="N310" s="95">
        <v>6647</v>
      </c>
      <c r="O310" s="96">
        <f>O305*O308*O309*0.65</f>
        <v>0</v>
      </c>
      <c r="P310" s="96">
        <f>P305*P308*P309*0.95</f>
        <v>7210.5</v>
      </c>
      <c r="Q310" s="96">
        <f>Q305*Q308*Q309</f>
        <v>1320</v>
      </c>
      <c r="R310" s="95">
        <f>R305*R308*R309*0.65</f>
        <v>0</v>
      </c>
      <c r="S310" s="95">
        <f t="shared" ref="S310:V310" si="197">S305*S308*S309</f>
        <v>1320</v>
      </c>
      <c r="T310" s="95">
        <f t="shared" si="197"/>
        <v>2640</v>
      </c>
      <c r="U310" s="95">
        <f t="shared" si="197"/>
        <v>726</v>
      </c>
      <c r="V310" s="96">
        <f t="shared" si="197"/>
        <v>0</v>
      </c>
      <c r="W310" s="123">
        <f>W305*W308*W309*0.35</f>
        <v>0</v>
      </c>
      <c r="X310" s="128">
        <f>X305*X308*X309</f>
        <v>0</v>
      </c>
      <c r="Y310" s="128">
        <f>Y305*Y308*Y309*0.45</f>
        <v>0</v>
      </c>
      <c r="Z310" s="128">
        <f>Z305*Z308*Z309*0.55</f>
        <v>0</v>
      </c>
      <c r="AA310" s="128">
        <f>AA305*AA308*AA309*0.65</f>
        <v>0</v>
      </c>
      <c r="AB310" s="128">
        <f>AB305*AB308*AB309*0.75</f>
        <v>0</v>
      </c>
      <c r="AC310" s="96">
        <f>AC305*AC308*AC309*0.45</f>
        <v>0</v>
      </c>
      <c r="AD310" s="96">
        <f>AD305*AD308*AD309*0.45</f>
        <v>0</v>
      </c>
      <c r="AE310" s="95">
        <f>AE305*AE308*AE309*0.55</f>
        <v>0</v>
      </c>
      <c r="AF310" s="139">
        <f>AF305*AF308*AF309*0.65</f>
        <v>0</v>
      </c>
      <c r="AG310" s="95">
        <f>AG305*AG308*AG309*0.75</f>
        <v>0</v>
      </c>
      <c r="AH310" s="139">
        <f>AH305*AH308*AH309*0.85</f>
        <v>0</v>
      </c>
      <c r="AI310" s="139">
        <f>AI305*AI308*AI309*0.95</f>
        <v>0</v>
      </c>
      <c r="AJ310" s="154">
        <f>AJ305*AJ308*AJ309*0.95</f>
        <v>0</v>
      </c>
    </row>
    <row r="311" ht="18" customHeight="1" outlineLevel="1" spans="2:36">
      <c r="B311" s="162"/>
      <c r="C311" s="91" t="s">
        <v>191</v>
      </c>
      <c r="D311" s="92"/>
      <c r="E311" s="108">
        <f>SUM(F311:AJ311)</f>
        <v>31443</v>
      </c>
      <c r="F311" s="98"/>
      <c r="G311" s="99"/>
      <c r="H311" s="100"/>
      <c r="I311" s="100"/>
      <c r="J311" s="99">
        <v>1500</v>
      </c>
      <c r="K311" s="99">
        <v>3926</v>
      </c>
      <c r="L311" s="95">
        <v>4488</v>
      </c>
      <c r="M311" s="95">
        <v>5712</v>
      </c>
      <c r="N311" s="95">
        <v>6528</v>
      </c>
      <c r="O311" s="115"/>
      <c r="P311" s="115">
        <v>4418</v>
      </c>
      <c r="Q311" s="115"/>
      <c r="R311" s="95"/>
      <c r="S311" s="95">
        <v>1237</v>
      </c>
      <c r="T311" s="95">
        <v>2249</v>
      </c>
      <c r="U311" s="95">
        <v>747</v>
      </c>
      <c r="V311" s="96"/>
      <c r="W311" s="96"/>
      <c r="X311" s="95"/>
      <c r="Y311" s="128"/>
      <c r="Z311" s="95"/>
      <c r="AA311" s="95"/>
      <c r="AB311" s="95">
        <v>638</v>
      </c>
      <c r="AC311" s="96"/>
      <c r="AD311" s="96"/>
      <c r="AE311" s="95"/>
      <c r="AF311" s="139"/>
      <c r="AG311" s="95"/>
      <c r="AH311" s="139"/>
      <c r="AI311" s="139"/>
      <c r="AJ311" s="154"/>
    </row>
    <row r="312" ht="18" customHeight="1" outlineLevel="1" spans="2:36">
      <c r="B312" s="161"/>
      <c r="C312" s="91" t="s">
        <v>192</v>
      </c>
      <c r="D312" s="92"/>
      <c r="E312" s="92"/>
      <c r="F312" s="95">
        <f t="shared" ref="F312:AJ312" si="198">F311-F310</f>
        <v>0</v>
      </c>
      <c r="G312" s="95">
        <f t="shared" si="198"/>
        <v>0</v>
      </c>
      <c r="H312" s="96">
        <f t="shared" si="198"/>
        <v>0</v>
      </c>
      <c r="I312" s="96">
        <f t="shared" si="198"/>
        <v>0</v>
      </c>
      <c r="J312" s="95">
        <f t="shared" si="198"/>
        <v>1194</v>
      </c>
      <c r="K312" s="95">
        <f t="shared" si="198"/>
        <v>-375</v>
      </c>
      <c r="L312" s="95">
        <f t="shared" si="198"/>
        <v>-445.5</v>
      </c>
      <c r="M312" s="95">
        <f t="shared" si="198"/>
        <v>19.5</v>
      </c>
      <c r="N312" s="95">
        <v>-119</v>
      </c>
      <c r="O312" s="96">
        <f t="shared" si="198"/>
        <v>0</v>
      </c>
      <c r="P312" s="96">
        <f t="shared" si="198"/>
        <v>-2792.5</v>
      </c>
      <c r="Q312" s="96">
        <f t="shared" si="198"/>
        <v>-1320</v>
      </c>
      <c r="R312" s="95">
        <f t="shared" si="198"/>
        <v>0</v>
      </c>
      <c r="S312" s="95">
        <f t="shared" si="198"/>
        <v>-83</v>
      </c>
      <c r="T312" s="95">
        <f t="shared" si="198"/>
        <v>-391</v>
      </c>
      <c r="U312" s="95">
        <f t="shared" si="198"/>
        <v>20.9999999999999</v>
      </c>
      <c r="V312" s="96">
        <f t="shared" si="198"/>
        <v>0</v>
      </c>
      <c r="W312" s="123">
        <f t="shared" si="198"/>
        <v>0</v>
      </c>
      <c r="X312" s="128">
        <f t="shared" si="198"/>
        <v>0</v>
      </c>
      <c r="Y312" s="128">
        <f t="shared" si="198"/>
        <v>0</v>
      </c>
      <c r="Z312" s="128">
        <f t="shared" si="198"/>
        <v>0</v>
      </c>
      <c r="AA312" s="128">
        <f t="shared" si="198"/>
        <v>0</v>
      </c>
      <c r="AB312" s="128">
        <f t="shared" si="198"/>
        <v>638</v>
      </c>
      <c r="AC312" s="96">
        <f t="shared" si="198"/>
        <v>0</v>
      </c>
      <c r="AD312" s="96">
        <f t="shared" si="198"/>
        <v>0</v>
      </c>
      <c r="AE312" s="95">
        <f t="shared" si="198"/>
        <v>0</v>
      </c>
      <c r="AF312" s="139">
        <f t="shared" si="198"/>
        <v>0</v>
      </c>
      <c r="AG312" s="95">
        <f t="shared" si="198"/>
        <v>0</v>
      </c>
      <c r="AH312" s="139">
        <f t="shared" si="198"/>
        <v>0</v>
      </c>
      <c r="AI312" s="139">
        <f t="shared" si="198"/>
        <v>0</v>
      </c>
      <c r="AJ312" s="154">
        <f t="shared" si="198"/>
        <v>0</v>
      </c>
    </row>
    <row r="313" ht="18" customHeight="1" outlineLevel="1" spans="2:36">
      <c r="B313" s="161"/>
      <c r="C313" s="91" t="s">
        <v>193</v>
      </c>
      <c r="D313" s="92"/>
      <c r="E313" s="92"/>
      <c r="F313" s="95">
        <f t="shared" ref="F313:AJ313" si="199">E313+F311</f>
        <v>0</v>
      </c>
      <c r="G313" s="95">
        <f t="shared" si="199"/>
        <v>0</v>
      </c>
      <c r="H313" s="96">
        <f t="shared" si="199"/>
        <v>0</v>
      </c>
      <c r="I313" s="96">
        <f t="shared" si="199"/>
        <v>0</v>
      </c>
      <c r="J313" s="95">
        <f t="shared" si="199"/>
        <v>1500</v>
      </c>
      <c r="K313" s="95">
        <f t="shared" si="199"/>
        <v>5426</v>
      </c>
      <c r="L313" s="95">
        <f t="shared" si="199"/>
        <v>9914</v>
      </c>
      <c r="M313" s="95">
        <f t="shared" si="199"/>
        <v>15626</v>
      </c>
      <c r="N313" s="95">
        <v>22154</v>
      </c>
      <c r="O313" s="96">
        <f t="shared" si="199"/>
        <v>22154</v>
      </c>
      <c r="P313" s="96">
        <f t="shared" si="199"/>
        <v>26572</v>
      </c>
      <c r="Q313" s="96">
        <f t="shared" si="199"/>
        <v>26572</v>
      </c>
      <c r="R313" s="95">
        <f t="shared" si="199"/>
        <v>26572</v>
      </c>
      <c r="S313" s="95">
        <f t="shared" si="199"/>
        <v>27809</v>
      </c>
      <c r="T313" s="95">
        <f t="shared" si="199"/>
        <v>30058</v>
      </c>
      <c r="U313" s="95">
        <f t="shared" si="199"/>
        <v>30805</v>
      </c>
      <c r="V313" s="96">
        <f t="shared" si="199"/>
        <v>30805</v>
      </c>
      <c r="W313" s="123">
        <f t="shared" si="199"/>
        <v>30805</v>
      </c>
      <c r="X313" s="128">
        <f t="shared" si="199"/>
        <v>30805</v>
      </c>
      <c r="Y313" s="128">
        <f t="shared" si="199"/>
        <v>30805</v>
      </c>
      <c r="Z313" s="128">
        <f t="shared" si="199"/>
        <v>30805</v>
      </c>
      <c r="AA313" s="128">
        <f t="shared" si="199"/>
        <v>30805</v>
      </c>
      <c r="AB313" s="128">
        <f t="shared" si="199"/>
        <v>31443</v>
      </c>
      <c r="AC313" s="96">
        <f t="shared" si="199"/>
        <v>31443</v>
      </c>
      <c r="AD313" s="96">
        <f t="shared" si="199"/>
        <v>31443</v>
      </c>
      <c r="AE313" s="95">
        <f t="shared" si="199"/>
        <v>31443</v>
      </c>
      <c r="AF313" s="139">
        <f t="shared" si="199"/>
        <v>31443</v>
      </c>
      <c r="AG313" s="95">
        <f t="shared" si="199"/>
        <v>31443</v>
      </c>
      <c r="AH313" s="139">
        <f t="shared" si="199"/>
        <v>31443</v>
      </c>
      <c r="AI313" s="139">
        <f t="shared" si="199"/>
        <v>31443</v>
      </c>
      <c r="AJ313" s="154">
        <f t="shared" si="199"/>
        <v>31443</v>
      </c>
    </row>
    <row r="314" ht="18" customHeight="1" spans="2:36">
      <c r="B314" s="164"/>
      <c r="C314" s="102" t="s">
        <v>194</v>
      </c>
      <c r="D314" s="103"/>
      <c r="E314" s="103"/>
      <c r="F314" s="104" t="str">
        <f t="shared" ref="F314:AJ314" si="200">IF(F311&gt;0,F311/F310,"")</f>
        <v/>
      </c>
      <c r="G314" s="104" t="str">
        <f t="shared" si="200"/>
        <v/>
      </c>
      <c r="H314" s="105" t="str">
        <f t="shared" si="200"/>
        <v/>
      </c>
      <c r="I314" s="105" t="str">
        <f t="shared" si="200"/>
        <v/>
      </c>
      <c r="J314" s="104">
        <f t="shared" si="200"/>
        <v>4.90196078431373</v>
      </c>
      <c r="K314" s="104">
        <f t="shared" si="200"/>
        <v>0.912810974192048</v>
      </c>
      <c r="L314" s="104">
        <f t="shared" si="200"/>
        <v>0.909698996655518</v>
      </c>
      <c r="M314" s="104">
        <f t="shared" si="200"/>
        <v>1.0034255599473</v>
      </c>
      <c r="N314" s="104">
        <v>0.982097186700767</v>
      </c>
      <c r="O314" s="105" t="str">
        <f t="shared" si="200"/>
        <v/>
      </c>
      <c r="P314" s="105">
        <f t="shared" si="200"/>
        <v>0.612717564662645</v>
      </c>
      <c r="Q314" s="105" t="str">
        <f t="shared" si="200"/>
        <v/>
      </c>
      <c r="R314" s="104" t="str">
        <f t="shared" si="200"/>
        <v/>
      </c>
      <c r="S314" s="104">
        <f t="shared" si="200"/>
        <v>0.937121212121212</v>
      </c>
      <c r="T314" s="104">
        <f t="shared" si="200"/>
        <v>0.851893939393939</v>
      </c>
      <c r="U314" s="104">
        <f t="shared" si="200"/>
        <v>1.02892561983471</v>
      </c>
      <c r="V314" s="105" t="str">
        <f t="shared" si="200"/>
        <v/>
      </c>
      <c r="W314" s="105" t="str">
        <f t="shared" si="200"/>
        <v/>
      </c>
      <c r="X314" s="104" t="str">
        <f t="shared" si="200"/>
        <v/>
      </c>
      <c r="Y314" s="188" t="str">
        <f t="shared" si="200"/>
        <v/>
      </c>
      <c r="Z314" s="142" t="str">
        <f t="shared" si="200"/>
        <v/>
      </c>
      <c r="AA314" s="104" t="str">
        <f t="shared" si="200"/>
        <v/>
      </c>
      <c r="AB314" s="104" t="e">
        <f t="shared" si="200"/>
        <v>#DIV/0!</v>
      </c>
      <c r="AC314" s="105" t="str">
        <f t="shared" si="200"/>
        <v/>
      </c>
      <c r="AD314" s="105" t="str">
        <f t="shared" si="200"/>
        <v/>
      </c>
      <c r="AE314" s="104" t="str">
        <f t="shared" si="200"/>
        <v/>
      </c>
      <c r="AF314" s="141" t="str">
        <f t="shared" si="200"/>
        <v/>
      </c>
      <c r="AG314" s="104" t="str">
        <f t="shared" si="200"/>
        <v/>
      </c>
      <c r="AH314" s="155" t="str">
        <f t="shared" si="200"/>
        <v/>
      </c>
      <c r="AI314" s="155" t="str">
        <f t="shared" si="200"/>
        <v/>
      </c>
      <c r="AJ314" s="156" t="str">
        <f t="shared" si="200"/>
        <v/>
      </c>
    </row>
    <row r="315" ht="18" customHeight="1" outlineLevel="1" spans="2:36">
      <c r="B315" s="160" t="s">
        <v>132</v>
      </c>
      <c r="C315" s="86" t="s">
        <v>185</v>
      </c>
      <c r="D315" s="87"/>
      <c r="E315" s="87"/>
      <c r="F315" s="88"/>
      <c r="G315" s="88"/>
      <c r="H315" s="89"/>
      <c r="I315" s="89"/>
      <c r="J315" s="88"/>
      <c r="K315" s="88">
        <v>1</v>
      </c>
      <c r="L315" s="88">
        <v>1</v>
      </c>
      <c r="M315" s="88">
        <v>2</v>
      </c>
      <c r="N315" s="88">
        <v>2</v>
      </c>
      <c r="O315" s="89"/>
      <c r="P315" s="89">
        <v>2</v>
      </c>
      <c r="Q315" s="89">
        <v>2</v>
      </c>
      <c r="R315" s="88">
        <v>3</v>
      </c>
      <c r="S315" s="88">
        <v>3</v>
      </c>
      <c r="T315" s="88">
        <v>3</v>
      </c>
      <c r="U315" s="88">
        <v>3</v>
      </c>
      <c r="V315" s="89">
        <v>3</v>
      </c>
      <c r="W315" s="126">
        <v>3</v>
      </c>
      <c r="X315" s="127">
        <v>3</v>
      </c>
      <c r="Y315" s="127">
        <v>3</v>
      </c>
      <c r="Z315" s="180">
        <v>3</v>
      </c>
      <c r="AA315" s="180">
        <v>1</v>
      </c>
      <c r="AB315" s="180">
        <v>1</v>
      </c>
      <c r="AC315" s="167">
        <v>1</v>
      </c>
      <c r="AD315" s="167"/>
      <c r="AE315" s="168"/>
      <c r="AF315" s="186"/>
      <c r="AG315" s="88"/>
      <c r="AH315" s="157"/>
      <c r="AI315" s="157"/>
      <c r="AJ315" s="158"/>
    </row>
    <row r="316" ht="18" customHeight="1" outlineLevel="1" spans="2:36">
      <c r="B316" s="161"/>
      <c r="C316" s="91" t="s">
        <v>186</v>
      </c>
      <c r="D316" s="92"/>
      <c r="E316" s="92"/>
      <c r="F316" s="93">
        <v>48</v>
      </c>
      <c r="G316" s="93">
        <v>48</v>
      </c>
      <c r="H316" s="94">
        <v>48</v>
      </c>
      <c r="I316" s="94">
        <v>48</v>
      </c>
      <c r="J316" s="93">
        <v>48</v>
      </c>
      <c r="K316" s="93">
        <v>48</v>
      </c>
      <c r="L316" s="93">
        <v>48</v>
      </c>
      <c r="M316" s="93">
        <v>48</v>
      </c>
      <c r="N316" s="93">
        <v>48</v>
      </c>
      <c r="O316" s="94">
        <v>48</v>
      </c>
      <c r="P316" s="94">
        <v>48</v>
      </c>
      <c r="Q316" s="94">
        <v>48</v>
      </c>
      <c r="R316" s="93">
        <v>48</v>
      </c>
      <c r="S316" s="93">
        <v>48</v>
      </c>
      <c r="T316" s="93">
        <v>48</v>
      </c>
      <c r="U316" s="93">
        <v>48</v>
      </c>
      <c r="V316" s="94">
        <v>48</v>
      </c>
      <c r="W316" s="123">
        <v>48</v>
      </c>
      <c r="X316" s="128">
        <v>48</v>
      </c>
      <c r="Y316" s="128">
        <v>48</v>
      </c>
      <c r="Z316" s="128">
        <v>48</v>
      </c>
      <c r="AA316" s="128">
        <v>48</v>
      </c>
      <c r="AB316" s="128">
        <v>48</v>
      </c>
      <c r="AC316" s="94">
        <v>48</v>
      </c>
      <c r="AD316" s="94">
        <v>48</v>
      </c>
      <c r="AE316" s="93">
        <v>48</v>
      </c>
      <c r="AF316" s="138">
        <v>48</v>
      </c>
      <c r="AG316" s="93">
        <v>48</v>
      </c>
      <c r="AH316" s="139">
        <v>48</v>
      </c>
      <c r="AI316" s="139">
        <v>48</v>
      </c>
      <c r="AJ316" s="154">
        <v>48</v>
      </c>
    </row>
    <row r="317" ht="18" customHeight="1" outlineLevel="1" spans="2:36">
      <c r="B317" s="161"/>
      <c r="C317" s="91" t="s">
        <v>187</v>
      </c>
      <c r="D317" s="92"/>
      <c r="E317" s="92"/>
      <c r="F317" s="93">
        <f t="shared" ref="F317:AJ317" si="201">F315*F316</f>
        <v>0</v>
      </c>
      <c r="G317" s="93">
        <f t="shared" si="201"/>
        <v>0</v>
      </c>
      <c r="H317" s="94">
        <f t="shared" si="201"/>
        <v>0</v>
      </c>
      <c r="I317" s="94">
        <f t="shared" si="201"/>
        <v>0</v>
      </c>
      <c r="J317" s="93">
        <f t="shared" si="201"/>
        <v>0</v>
      </c>
      <c r="K317" s="93">
        <f t="shared" si="201"/>
        <v>48</v>
      </c>
      <c r="L317" s="93">
        <f t="shared" si="201"/>
        <v>48</v>
      </c>
      <c r="M317" s="93">
        <f t="shared" si="201"/>
        <v>96</v>
      </c>
      <c r="N317" s="93">
        <v>96</v>
      </c>
      <c r="O317" s="94">
        <f t="shared" si="201"/>
        <v>0</v>
      </c>
      <c r="P317" s="94">
        <f t="shared" si="201"/>
        <v>96</v>
      </c>
      <c r="Q317" s="94">
        <f t="shared" si="201"/>
        <v>96</v>
      </c>
      <c r="R317" s="93">
        <f t="shared" si="201"/>
        <v>144</v>
      </c>
      <c r="S317" s="93">
        <f t="shared" si="201"/>
        <v>144</v>
      </c>
      <c r="T317" s="93">
        <f t="shared" si="201"/>
        <v>144</v>
      </c>
      <c r="U317" s="93">
        <f t="shared" si="201"/>
        <v>144</v>
      </c>
      <c r="V317" s="94">
        <f t="shared" si="201"/>
        <v>144</v>
      </c>
      <c r="W317" s="96">
        <f t="shared" si="201"/>
        <v>144</v>
      </c>
      <c r="X317" s="93">
        <f t="shared" si="201"/>
        <v>144</v>
      </c>
      <c r="Y317" s="93">
        <f t="shared" si="201"/>
        <v>144</v>
      </c>
      <c r="Z317" s="93">
        <f t="shared" si="201"/>
        <v>144</v>
      </c>
      <c r="AA317" s="93">
        <f t="shared" si="201"/>
        <v>48</v>
      </c>
      <c r="AB317" s="93">
        <f t="shared" si="201"/>
        <v>48</v>
      </c>
      <c r="AC317" s="94">
        <f t="shared" si="201"/>
        <v>48</v>
      </c>
      <c r="AD317" s="94">
        <f t="shared" si="201"/>
        <v>0</v>
      </c>
      <c r="AE317" s="93">
        <f t="shared" si="201"/>
        <v>0</v>
      </c>
      <c r="AF317" s="138">
        <f t="shared" si="201"/>
        <v>0</v>
      </c>
      <c r="AG317" s="93">
        <f t="shared" si="201"/>
        <v>0</v>
      </c>
      <c r="AH317" s="139">
        <f t="shared" si="201"/>
        <v>0</v>
      </c>
      <c r="AI317" s="139">
        <f t="shared" si="201"/>
        <v>0</v>
      </c>
      <c r="AJ317" s="154">
        <f t="shared" si="201"/>
        <v>0</v>
      </c>
    </row>
    <row r="318" ht="18" customHeight="1" outlineLevel="1" spans="2:36">
      <c r="B318" s="161"/>
      <c r="C318" s="91" t="s">
        <v>188</v>
      </c>
      <c r="D318" s="92"/>
      <c r="E318" s="92"/>
      <c r="F318" s="93"/>
      <c r="G318" s="93"/>
      <c r="H318" s="94"/>
      <c r="I318" s="94"/>
      <c r="J318" s="93">
        <v>8</v>
      </c>
      <c r="K318" s="93">
        <v>4</v>
      </c>
      <c r="L318" s="93">
        <v>11.5</v>
      </c>
      <c r="M318" s="93">
        <v>12</v>
      </c>
      <c r="N318" s="93">
        <v>12</v>
      </c>
      <c r="O318" s="94">
        <v>13</v>
      </c>
      <c r="P318" s="94">
        <v>12</v>
      </c>
      <c r="Q318" s="94">
        <v>12</v>
      </c>
      <c r="R318" s="93">
        <v>12</v>
      </c>
      <c r="S318" s="93">
        <v>12.5</v>
      </c>
      <c r="T318" s="93">
        <v>11.5</v>
      </c>
      <c r="U318" s="93">
        <v>11.5</v>
      </c>
      <c r="V318" s="94">
        <v>11.5</v>
      </c>
      <c r="W318" s="96">
        <v>10</v>
      </c>
      <c r="X318" s="93">
        <v>11.5</v>
      </c>
      <c r="Y318" s="93">
        <v>11.5</v>
      </c>
      <c r="Z318" s="93">
        <v>11.5</v>
      </c>
      <c r="AA318" s="93">
        <v>11.5</v>
      </c>
      <c r="AB318" s="93">
        <v>11.5</v>
      </c>
      <c r="AC318" s="94">
        <v>11.5</v>
      </c>
      <c r="AD318" s="94">
        <v>11.5</v>
      </c>
      <c r="AE318" s="93">
        <v>11.5</v>
      </c>
      <c r="AF318" s="93">
        <v>4</v>
      </c>
      <c r="AG318" s="93">
        <v>11.5</v>
      </c>
      <c r="AH318" s="93">
        <v>11.5</v>
      </c>
      <c r="AI318" s="93">
        <v>11.5</v>
      </c>
      <c r="AJ318" s="94">
        <v>11.5</v>
      </c>
    </row>
    <row r="319" ht="18" customHeight="1" outlineLevel="1" spans="2:36">
      <c r="B319" s="161"/>
      <c r="C319" s="91" t="s">
        <v>189</v>
      </c>
      <c r="D319" s="92"/>
      <c r="E319" s="92"/>
      <c r="F319" s="93">
        <v>660</v>
      </c>
      <c r="G319" s="93">
        <v>660</v>
      </c>
      <c r="H319" s="94">
        <v>660</v>
      </c>
      <c r="I319" s="94">
        <v>660</v>
      </c>
      <c r="J319" s="93">
        <v>680</v>
      </c>
      <c r="K319" s="93">
        <v>680</v>
      </c>
      <c r="L319" s="93">
        <v>680</v>
      </c>
      <c r="M319" s="93">
        <v>680</v>
      </c>
      <c r="N319" s="93">
        <v>680</v>
      </c>
      <c r="O319" s="94">
        <v>680</v>
      </c>
      <c r="P319" s="94">
        <v>680</v>
      </c>
      <c r="Q319" s="94">
        <v>700</v>
      </c>
      <c r="R319" s="93">
        <v>700</v>
      </c>
      <c r="S319" s="93">
        <v>700</v>
      </c>
      <c r="T319" s="93">
        <v>700</v>
      </c>
      <c r="U319" s="93">
        <v>700</v>
      </c>
      <c r="V319" s="94">
        <v>700</v>
      </c>
      <c r="W319" s="96">
        <v>700</v>
      </c>
      <c r="X319" s="93">
        <v>700</v>
      </c>
      <c r="Y319" s="128">
        <v>700</v>
      </c>
      <c r="Z319" s="93">
        <v>700</v>
      </c>
      <c r="AA319" s="93">
        <v>700</v>
      </c>
      <c r="AB319" s="93">
        <v>700</v>
      </c>
      <c r="AC319" s="94">
        <v>700</v>
      </c>
      <c r="AD319" s="94">
        <v>700</v>
      </c>
      <c r="AE319" s="93">
        <v>700</v>
      </c>
      <c r="AF319" s="138">
        <v>700</v>
      </c>
      <c r="AG319" s="93">
        <v>700</v>
      </c>
      <c r="AH319" s="139">
        <v>700</v>
      </c>
      <c r="AI319" s="139">
        <v>680</v>
      </c>
      <c r="AJ319" s="154">
        <v>680</v>
      </c>
    </row>
    <row r="320" ht="18" customHeight="1" outlineLevel="1" spans="2:36">
      <c r="B320" s="161"/>
      <c r="C320" s="91" t="s">
        <v>190</v>
      </c>
      <c r="D320" s="92">
        <v>240000</v>
      </c>
      <c r="E320" s="92">
        <f>SUM(F320:AI320)</f>
        <v>272029</v>
      </c>
      <c r="F320" s="95">
        <f>F315*F318*F319</f>
        <v>0</v>
      </c>
      <c r="G320" s="95">
        <f>G315*G318*G319</f>
        <v>0</v>
      </c>
      <c r="H320" s="96">
        <f>H315*H318*H319</f>
        <v>0</v>
      </c>
      <c r="I320" s="96">
        <f>I315*I318*I319</f>
        <v>0</v>
      </c>
      <c r="J320" s="95">
        <f>J315*J318*J319*0.75</f>
        <v>0</v>
      </c>
      <c r="K320" s="95">
        <f>K315*K318*K319*0.35</f>
        <v>952</v>
      </c>
      <c r="L320" s="95">
        <f>L315*L318*L319*0.45</f>
        <v>3519</v>
      </c>
      <c r="M320" s="95">
        <f>M315*M318*M319*0.5</f>
        <v>8160</v>
      </c>
      <c r="N320" s="95">
        <f>N315*N318*N319*0.6</f>
        <v>9792</v>
      </c>
      <c r="O320" s="96">
        <f>O315*O318*O319*0.65</f>
        <v>0</v>
      </c>
      <c r="P320" s="96">
        <f>P315*P318*P319*0.7</f>
        <v>11424</v>
      </c>
      <c r="Q320" s="96">
        <f>Q315*Q318*Q319*0.8</f>
        <v>13440</v>
      </c>
      <c r="R320" s="95">
        <f>R315*R318*R319*0.75</f>
        <v>18900</v>
      </c>
      <c r="S320" s="95">
        <f>S315*S318*S319*0.85</f>
        <v>22312.5</v>
      </c>
      <c r="T320" s="95">
        <f>T315*T318*T319*0.88</f>
        <v>21252</v>
      </c>
      <c r="U320" s="95">
        <f>U315*U318*U319*0.9</f>
        <v>21735</v>
      </c>
      <c r="V320" s="96">
        <f>V315*V318*V319*0.95</f>
        <v>22942.5</v>
      </c>
      <c r="W320" s="123">
        <f>W315*W318*W319</f>
        <v>21000</v>
      </c>
      <c r="X320" s="128">
        <f t="shared" ref="X320:AJ320" si="202">X315*X318*X319</f>
        <v>24150</v>
      </c>
      <c r="Y320" s="128">
        <f t="shared" si="202"/>
        <v>24150</v>
      </c>
      <c r="Z320" s="146">
        <f t="shared" si="202"/>
        <v>24150</v>
      </c>
      <c r="AA320" s="146">
        <f t="shared" si="202"/>
        <v>8050</v>
      </c>
      <c r="AB320" s="146">
        <f t="shared" si="202"/>
        <v>8050</v>
      </c>
      <c r="AC320" s="130">
        <f t="shared" si="202"/>
        <v>8050</v>
      </c>
      <c r="AD320" s="130">
        <f t="shared" si="202"/>
        <v>0</v>
      </c>
      <c r="AE320" s="129">
        <f t="shared" si="202"/>
        <v>0</v>
      </c>
      <c r="AF320" s="178">
        <f t="shared" si="202"/>
        <v>0</v>
      </c>
      <c r="AG320" s="95">
        <f t="shared" si="202"/>
        <v>0</v>
      </c>
      <c r="AH320" s="139">
        <f t="shared" si="202"/>
        <v>0</v>
      </c>
      <c r="AI320" s="139">
        <f t="shared" si="202"/>
        <v>0</v>
      </c>
      <c r="AJ320" s="154">
        <f t="shared" si="202"/>
        <v>0</v>
      </c>
    </row>
    <row r="321" ht="18" customHeight="1" outlineLevel="1" spans="2:36">
      <c r="B321" s="162"/>
      <c r="C321" s="91" t="s">
        <v>191</v>
      </c>
      <c r="D321" s="92"/>
      <c r="E321" s="108">
        <f>SUM(F321:AJ321)</f>
        <v>239225</v>
      </c>
      <c r="F321" s="98"/>
      <c r="G321" s="99"/>
      <c r="H321" s="100"/>
      <c r="I321" s="100"/>
      <c r="J321" s="99"/>
      <c r="K321" s="99">
        <v>245</v>
      </c>
      <c r="L321" s="95">
        <v>2500</v>
      </c>
      <c r="M321" s="95">
        <v>5200</v>
      </c>
      <c r="N321" s="95">
        <v>6550</v>
      </c>
      <c r="O321" s="115"/>
      <c r="P321" s="115">
        <v>11208</v>
      </c>
      <c r="Q321" s="115">
        <v>15182</v>
      </c>
      <c r="R321" s="95">
        <v>18500</v>
      </c>
      <c r="S321" s="95">
        <v>17600</v>
      </c>
      <c r="T321" s="95">
        <v>15200</v>
      </c>
      <c r="U321" s="95">
        <v>19740</v>
      </c>
      <c r="V321" s="96">
        <v>24516</v>
      </c>
      <c r="W321" s="96">
        <v>19600</v>
      </c>
      <c r="X321" s="95">
        <v>24120</v>
      </c>
      <c r="Y321" s="128">
        <v>25000</v>
      </c>
      <c r="Z321" s="95">
        <v>24550</v>
      </c>
      <c r="AA321" s="95">
        <v>6100</v>
      </c>
      <c r="AB321" s="95">
        <v>2297</v>
      </c>
      <c r="AC321" s="96"/>
      <c r="AD321" s="96"/>
      <c r="AE321" s="95"/>
      <c r="AF321" s="139"/>
      <c r="AG321" s="95"/>
      <c r="AH321" s="139"/>
      <c r="AI321" s="139">
        <v>1117</v>
      </c>
      <c r="AJ321" s="154"/>
    </row>
    <row r="322" ht="18" customHeight="1" outlineLevel="1" spans="2:36">
      <c r="B322" s="161"/>
      <c r="C322" s="91" t="s">
        <v>192</v>
      </c>
      <c r="D322" s="92"/>
      <c r="E322" s="92"/>
      <c r="F322" s="95">
        <f t="shared" ref="F322:H322" si="203">F321-F320</f>
        <v>0</v>
      </c>
      <c r="G322" s="95">
        <f t="shared" si="203"/>
        <v>0</v>
      </c>
      <c r="H322" s="96">
        <f t="shared" si="203"/>
        <v>0</v>
      </c>
      <c r="I322" s="96"/>
      <c r="J322" s="95">
        <f t="shared" ref="J322:AJ322" si="204">J321-J320</f>
        <v>0</v>
      </c>
      <c r="K322" s="95">
        <f t="shared" si="204"/>
        <v>-707</v>
      </c>
      <c r="L322" s="95">
        <f t="shared" si="204"/>
        <v>-1019</v>
      </c>
      <c r="M322" s="95">
        <f t="shared" si="204"/>
        <v>-2960</v>
      </c>
      <c r="N322" s="95">
        <v>-3242</v>
      </c>
      <c r="O322" s="96">
        <f t="shared" si="204"/>
        <v>0</v>
      </c>
      <c r="P322" s="96">
        <f t="shared" si="204"/>
        <v>-216</v>
      </c>
      <c r="Q322" s="96">
        <f t="shared" si="204"/>
        <v>1742</v>
      </c>
      <c r="R322" s="95">
        <f t="shared" si="204"/>
        <v>-400</v>
      </c>
      <c r="S322" s="95">
        <f t="shared" si="204"/>
        <v>-4712.5</v>
      </c>
      <c r="T322" s="95">
        <f t="shared" si="204"/>
        <v>-6052</v>
      </c>
      <c r="U322" s="95">
        <f t="shared" si="204"/>
        <v>-1995</v>
      </c>
      <c r="V322" s="96">
        <f t="shared" si="204"/>
        <v>1573.5</v>
      </c>
      <c r="W322" s="123">
        <f t="shared" si="204"/>
        <v>-1400</v>
      </c>
      <c r="X322" s="128">
        <f t="shared" si="204"/>
        <v>-30</v>
      </c>
      <c r="Y322" s="128">
        <f t="shared" si="204"/>
        <v>850</v>
      </c>
      <c r="Z322" s="128">
        <f t="shared" si="204"/>
        <v>400</v>
      </c>
      <c r="AA322" s="128">
        <f t="shared" si="204"/>
        <v>-1950</v>
      </c>
      <c r="AB322" s="128">
        <f t="shared" si="204"/>
        <v>-5753</v>
      </c>
      <c r="AC322" s="96">
        <f t="shared" si="204"/>
        <v>-8050</v>
      </c>
      <c r="AD322" s="96">
        <f t="shared" si="204"/>
        <v>0</v>
      </c>
      <c r="AE322" s="95">
        <f t="shared" si="204"/>
        <v>0</v>
      </c>
      <c r="AF322" s="139">
        <f t="shared" si="204"/>
        <v>0</v>
      </c>
      <c r="AG322" s="95">
        <f t="shared" si="204"/>
        <v>0</v>
      </c>
      <c r="AH322" s="139">
        <f t="shared" si="204"/>
        <v>0</v>
      </c>
      <c r="AI322" s="139">
        <f t="shared" si="204"/>
        <v>1117</v>
      </c>
      <c r="AJ322" s="154">
        <f t="shared" si="204"/>
        <v>0</v>
      </c>
    </row>
    <row r="323" ht="18" customHeight="1" outlineLevel="1" spans="2:36">
      <c r="B323" s="161"/>
      <c r="C323" s="91" t="s">
        <v>193</v>
      </c>
      <c r="D323" s="92"/>
      <c r="E323" s="92"/>
      <c r="F323" s="95">
        <f t="shared" ref="F323:H323" si="205">E323+F321</f>
        <v>0</v>
      </c>
      <c r="G323" s="95">
        <f t="shared" si="205"/>
        <v>0</v>
      </c>
      <c r="H323" s="96">
        <f t="shared" si="205"/>
        <v>0</v>
      </c>
      <c r="I323" s="96"/>
      <c r="J323" s="95">
        <f t="shared" ref="J323:AJ323" si="206">I323+J321</f>
        <v>0</v>
      </c>
      <c r="K323" s="95">
        <f t="shared" si="206"/>
        <v>245</v>
      </c>
      <c r="L323" s="95">
        <f t="shared" si="206"/>
        <v>2745</v>
      </c>
      <c r="M323" s="95">
        <f t="shared" si="206"/>
        <v>7945</v>
      </c>
      <c r="N323" s="95">
        <v>14495</v>
      </c>
      <c r="O323" s="96">
        <f t="shared" si="206"/>
        <v>14495</v>
      </c>
      <c r="P323" s="96">
        <f t="shared" si="206"/>
        <v>25703</v>
      </c>
      <c r="Q323" s="96">
        <f t="shared" si="206"/>
        <v>40885</v>
      </c>
      <c r="R323" s="95">
        <f t="shared" si="206"/>
        <v>59385</v>
      </c>
      <c r="S323" s="95">
        <f t="shared" si="206"/>
        <v>76985</v>
      </c>
      <c r="T323" s="95">
        <f t="shared" si="206"/>
        <v>92185</v>
      </c>
      <c r="U323" s="95">
        <f t="shared" si="206"/>
        <v>111925</v>
      </c>
      <c r="V323" s="96">
        <f t="shared" si="206"/>
        <v>136441</v>
      </c>
      <c r="W323" s="123">
        <f t="shared" si="206"/>
        <v>156041</v>
      </c>
      <c r="X323" s="128">
        <f t="shared" si="206"/>
        <v>180161</v>
      </c>
      <c r="Y323" s="128">
        <f t="shared" si="206"/>
        <v>205161</v>
      </c>
      <c r="Z323" s="128">
        <f t="shared" si="206"/>
        <v>229711</v>
      </c>
      <c r="AA323" s="128">
        <f t="shared" si="206"/>
        <v>235811</v>
      </c>
      <c r="AB323" s="128">
        <f t="shared" si="206"/>
        <v>238108</v>
      </c>
      <c r="AC323" s="96">
        <f t="shared" si="206"/>
        <v>238108</v>
      </c>
      <c r="AD323" s="96">
        <f t="shared" si="206"/>
        <v>238108</v>
      </c>
      <c r="AE323" s="95">
        <f t="shared" si="206"/>
        <v>238108</v>
      </c>
      <c r="AF323" s="139">
        <f t="shared" si="206"/>
        <v>238108</v>
      </c>
      <c r="AG323" s="95">
        <f t="shared" si="206"/>
        <v>238108</v>
      </c>
      <c r="AH323" s="139">
        <f t="shared" si="206"/>
        <v>238108</v>
      </c>
      <c r="AI323" s="139">
        <f t="shared" si="206"/>
        <v>239225</v>
      </c>
      <c r="AJ323" s="154">
        <f t="shared" si="206"/>
        <v>239225</v>
      </c>
    </row>
    <row r="324" ht="18" customHeight="1" spans="2:36">
      <c r="B324" s="164"/>
      <c r="C324" s="102" t="s">
        <v>194</v>
      </c>
      <c r="D324" s="103"/>
      <c r="E324" s="103"/>
      <c r="F324" s="104" t="str">
        <f t="shared" ref="F324:AJ324" si="207">IF(F321&gt;0,F321/F320,"")</f>
        <v/>
      </c>
      <c r="G324" s="104" t="str">
        <f t="shared" si="207"/>
        <v/>
      </c>
      <c r="H324" s="105" t="str">
        <f t="shared" si="207"/>
        <v/>
      </c>
      <c r="I324" s="105" t="str">
        <f t="shared" si="207"/>
        <v/>
      </c>
      <c r="J324" s="104" t="str">
        <f t="shared" si="207"/>
        <v/>
      </c>
      <c r="K324" s="104">
        <f t="shared" si="207"/>
        <v>0.257352941176471</v>
      </c>
      <c r="L324" s="104">
        <f t="shared" si="207"/>
        <v>0.710429099175902</v>
      </c>
      <c r="M324" s="104">
        <f t="shared" si="207"/>
        <v>0.637254901960784</v>
      </c>
      <c r="N324" s="104">
        <v>0.66891339869281</v>
      </c>
      <c r="O324" s="105" t="str">
        <f t="shared" si="207"/>
        <v/>
      </c>
      <c r="P324" s="105">
        <f t="shared" si="207"/>
        <v>0.98109243697479</v>
      </c>
      <c r="Q324" s="105">
        <f t="shared" si="207"/>
        <v>1.1296130952381</v>
      </c>
      <c r="R324" s="104">
        <f t="shared" si="207"/>
        <v>0.978835978835979</v>
      </c>
      <c r="S324" s="104">
        <f t="shared" si="207"/>
        <v>0.788795518207283</v>
      </c>
      <c r="T324" s="104">
        <f t="shared" si="207"/>
        <v>0.715226802183324</v>
      </c>
      <c r="U324" s="104">
        <f t="shared" si="207"/>
        <v>0.908212560386473</v>
      </c>
      <c r="V324" s="105">
        <f t="shared" si="207"/>
        <v>1.06858450474011</v>
      </c>
      <c r="W324" s="105">
        <f t="shared" si="207"/>
        <v>0.933333333333333</v>
      </c>
      <c r="X324" s="104">
        <f t="shared" si="207"/>
        <v>0.998757763975155</v>
      </c>
      <c r="Y324" s="104">
        <f t="shared" si="207"/>
        <v>1.0351966873706</v>
      </c>
      <c r="Z324" s="104">
        <f t="shared" si="207"/>
        <v>1.01656314699793</v>
      </c>
      <c r="AA324" s="104">
        <f t="shared" si="207"/>
        <v>0.757763975155279</v>
      </c>
      <c r="AB324" s="104">
        <f t="shared" si="207"/>
        <v>0.285341614906832</v>
      </c>
      <c r="AC324" s="105" t="str">
        <f t="shared" si="207"/>
        <v/>
      </c>
      <c r="AD324" s="105" t="str">
        <f t="shared" si="207"/>
        <v/>
      </c>
      <c r="AE324" s="104" t="str">
        <f t="shared" si="207"/>
        <v/>
      </c>
      <c r="AF324" s="141" t="str">
        <f t="shared" si="207"/>
        <v/>
      </c>
      <c r="AG324" s="104" t="str">
        <f t="shared" si="207"/>
        <v/>
      </c>
      <c r="AH324" s="155" t="str">
        <f t="shared" si="207"/>
        <v/>
      </c>
      <c r="AI324" s="155" t="e">
        <f t="shared" si="207"/>
        <v>#DIV/0!</v>
      </c>
      <c r="AJ324" s="156" t="str">
        <f t="shared" si="207"/>
        <v/>
      </c>
    </row>
    <row r="325" ht="18" customHeight="1" outlineLevel="1" spans="2:36">
      <c r="B325" s="160" t="s">
        <v>210</v>
      </c>
      <c r="C325" s="86" t="s">
        <v>185</v>
      </c>
      <c r="D325" s="87"/>
      <c r="E325" s="87"/>
      <c r="F325" s="88"/>
      <c r="G325" s="88"/>
      <c r="H325" s="89"/>
      <c r="I325" s="89"/>
      <c r="J325" s="88"/>
      <c r="K325" s="88"/>
      <c r="L325" s="88"/>
      <c r="M325" s="88"/>
      <c r="N325" s="88"/>
      <c r="O325" s="89"/>
      <c r="P325" s="89"/>
      <c r="Q325" s="89"/>
      <c r="R325" s="88"/>
      <c r="S325" s="88"/>
      <c r="T325" s="88"/>
      <c r="U325" s="88"/>
      <c r="V325" s="89"/>
      <c r="W325" s="126"/>
      <c r="X325" s="127"/>
      <c r="Y325" s="127"/>
      <c r="Z325" s="127"/>
      <c r="AA325" s="127"/>
      <c r="AB325" s="127"/>
      <c r="AC325" s="89"/>
      <c r="AD325" s="89"/>
      <c r="AE325" s="88"/>
      <c r="AF325" s="137"/>
      <c r="AG325" s="88"/>
      <c r="AH325" s="157"/>
      <c r="AI325" s="157"/>
      <c r="AJ325" s="158"/>
    </row>
    <row r="326" ht="18" customHeight="1" outlineLevel="1" spans="2:36">
      <c r="B326" s="161"/>
      <c r="C326" s="91" t="s">
        <v>186</v>
      </c>
      <c r="D326" s="92"/>
      <c r="E326" s="92"/>
      <c r="F326" s="93">
        <v>46</v>
      </c>
      <c r="G326" s="93">
        <v>46</v>
      </c>
      <c r="H326" s="94">
        <v>46</v>
      </c>
      <c r="I326" s="94">
        <v>46</v>
      </c>
      <c r="J326" s="93">
        <v>46</v>
      </c>
      <c r="K326" s="93">
        <v>46</v>
      </c>
      <c r="L326" s="93">
        <v>46</v>
      </c>
      <c r="M326" s="93">
        <v>46</v>
      </c>
      <c r="N326" s="93">
        <v>46</v>
      </c>
      <c r="O326" s="94">
        <v>46</v>
      </c>
      <c r="P326" s="94">
        <v>46</v>
      </c>
      <c r="Q326" s="94">
        <v>46</v>
      </c>
      <c r="R326" s="93">
        <v>46</v>
      </c>
      <c r="S326" s="93">
        <v>46</v>
      </c>
      <c r="T326" s="93">
        <v>46</v>
      </c>
      <c r="U326" s="93">
        <v>46</v>
      </c>
      <c r="V326" s="94">
        <v>46</v>
      </c>
      <c r="W326" s="123">
        <v>46</v>
      </c>
      <c r="X326" s="128">
        <v>38</v>
      </c>
      <c r="Y326" s="128">
        <v>46</v>
      </c>
      <c r="Z326" s="128">
        <v>46</v>
      </c>
      <c r="AA326" s="128">
        <v>46</v>
      </c>
      <c r="AB326" s="128">
        <v>46</v>
      </c>
      <c r="AC326" s="94">
        <v>46</v>
      </c>
      <c r="AD326" s="94">
        <v>46</v>
      </c>
      <c r="AE326" s="93">
        <v>46</v>
      </c>
      <c r="AF326" s="138">
        <v>38</v>
      </c>
      <c r="AG326" s="93">
        <v>46</v>
      </c>
      <c r="AH326" s="139">
        <v>46</v>
      </c>
      <c r="AI326" s="139">
        <v>46</v>
      </c>
      <c r="AJ326" s="154">
        <v>47</v>
      </c>
    </row>
    <row r="327" ht="18" customHeight="1" outlineLevel="1" spans="2:36">
      <c r="B327" s="161"/>
      <c r="C327" s="91" t="s">
        <v>187</v>
      </c>
      <c r="D327" s="92"/>
      <c r="E327" s="92"/>
      <c r="F327" s="93">
        <f t="shared" ref="F327:AJ327" si="208">F325*F326</f>
        <v>0</v>
      </c>
      <c r="G327" s="93">
        <f t="shared" si="208"/>
        <v>0</v>
      </c>
      <c r="H327" s="94">
        <f t="shared" si="208"/>
        <v>0</v>
      </c>
      <c r="I327" s="94">
        <f t="shared" si="208"/>
        <v>0</v>
      </c>
      <c r="J327" s="93">
        <f t="shared" si="208"/>
        <v>0</v>
      </c>
      <c r="K327" s="93">
        <f t="shared" si="208"/>
        <v>0</v>
      </c>
      <c r="L327" s="93">
        <f t="shared" si="208"/>
        <v>0</v>
      </c>
      <c r="M327" s="93">
        <f t="shared" si="208"/>
        <v>0</v>
      </c>
      <c r="N327" s="93">
        <v>0</v>
      </c>
      <c r="O327" s="94">
        <f t="shared" si="208"/>
        <v>0</v>
      </c>
      <c r="P327" s="94">
        <f t="shared" si="208"/>
        <v>0</v>
      </c>
      <c r="Q327" s="94">
        <f t="shared" si="208"/>
        <v>0</v>
      </c>
      <c r="R327" s="93">
        <f t="shared" si="208"/>
        <v>0</v>
      </c>
      <c r="S327" s="93">
        <f t="shared" si="208"/>
        <v>0</v>
      </c>
      <c r="T327" s="93">
        <f t="shared" si="208"/>
        <v>0</v>
      </c>
      <c r="U327" s="93">
        <f t="shared" si="208"/>
        <v>0</v>
      </c>
      <c r="V327" s="94">
        <f t="shared" si="208"/>
        <v>0</v>
      </c>
      <c r="W327" s="96">
        <f t="shared" si="208"/>
        <v>0</v>
      </c>
      <c r="X327" s="93">
        <f t="shared" si="208"/>
        <v>0</v>
      </c>
      <c r="Y327" s="93">
        <f t="shared" si="208"/>
        <v>0</v>
      </c>
      <c r="Z327" s="93">
        <f t="shared" si="208"/>
        <v>0</v>
      </c>
      <c r="AA327" s="93">
        <f t="shared" si="208"/>
        <v>0</v>
      </c>
      <c r="AB327" s="93">
        <f t="shared" si="208"/>
        <v>0</v>
      </c>
      <c r="AC327" s="94">
        <f t="shared" si="208"/>
        <v>0</v>
      </c>
      <c r="AD327" s="94">
        <f t="shared" si="208"/>
        <v>0</v>
      </c>
      <c r="AE327" s="93">
        <f t="shared" si="208"/>
        <v>0</v>
      </c>
      <c r="AF327" s="138">
        <f t="shared" si="208"/>
        <v>0</v>
      </c>
      <c r="AG327" s="93">
        <f t="shared" si="208"/>
        <v>0</v>
      </c>
      <c r="AH327" s="139">
        <f t="shared" si="208"/>
        <v>0</v>
      </c>
      <c r="AI327" s="139">
        <f t="shared" si="208"/>
        <v>0</v>
      </c>
      <c r="AJ327" s="154">
        <f t="shared" si="208"/>
        <v>0</v>
      </c>
    </row>
    <row r="328" ht="18" customHeight="1" outlineLevel="1" spans="2:36">
      <c r="B328" s="161"/>
      <c r="C328" s="91" t="s">
        <v>188</v>
      </c>
      <c r="D328" s="92"/>
      <c r="E328" s="92"/>
      <c r="F328" s="93"/>
      <c r="G328" s="93"/>
      <c r="H328" s="94"/>
      <c r="I328" s="94"/>
      <c r="J328" s="93"/>
      <c r="K328" s="93"/>
      <c r="L328" s="93"/>
      <c r="M328" s="93"/>
      <c r="N328" s="93"/>
      <c r="O328" s="94"/>
      <c r="P328" s="94"/>
      <c r="Q328" s="94"/>
      <c r="R328" s="93">
        <v>4</v>
      </c>
      <c r="S328" s="93">
        <v>11</v>
      </c>
      <c r="T328" s="93">
        <v>12</v>
      </c>
      <c r="U328" s="93">
        <v>12</v>
      </c>
      <c r="V328" s="94">
        <v>12</v>
      </c>
      <c r="W328" s="96"/>
      <c r="X328" s="93"/>
      <c r="Y328" s="128"/>
      <c r="Z328" s="93"/>
      <c r="AA328" s="93"/>
      <c r="AB328" s="93"/>
      <c r="AC328" s="94"/>
      <c r="AD328" s="94"/>
      <c r="AE328" s="93"/>
      <c r="AF328" s="93"/>
      <c r="AG328" s="93"/>
      <c r="AH328" s="139"/>
      <c r="AI328" s="139"/>
      <c r="AJ328" s="154"/>
    </row>
    <row r="329" ht="18" customHeight="1" outlineLevel="1" spans="2:36">
      <c r="B329" s="161"/>
      <c r="C329" s="91" t="s">
        <v>189</v>
      </c>
      <c r="D329" s="92"/>
      <c r="E329" s="92"/>
      <c r="F329" s="93">
        <v>660</v>
      </c>
      <c r="G329" s="93">
        <v>660</v>
      </c>
      <c r="H329" s="94">
        <v>660</v>
      </c>
      <c r="I329" s="94">
        <v>660</v>
      </c>
      <c r="J329" s="93">
        <v>660</v>
      </c>
      <c r="K329" s="93">
        <v>660</v>
      </c>
      <c r="L329" s="93">
        <v>660</v>
      </c>
      <c r="M329" s="93">
        <v>660</v>
      </c>
      <c r="N329" s="93">
        <v>660</v>
      </c>
      <c r="O329" s="94">
        <v>660</v>
      </c>
      <c r="P329" s="94">
        <v>660</v>
      </c>
      <c r="Q329" s="94">
        <v>660</v>
      </c>
      <c r="R329" s="93">
        <v>660</v>
      </c>
      <c r="S329" s="93">
        <v>660</v>
      </c>
      <c r="T329" s="93">
        <v>660</v>
      </c>
      <c r="U329" s="93">
        <v>660</v>
      </c>
      <c r="V329" s="94">
        <v>660</v>
      </c>
      <c r="W329" s="96">
        <v>660</v>
      </c>
      <c r="X329" s="93">
        <v>660</v>
      </c>
      <c r="Y329" s="128">
        <v>660</v>
      </c>
      <c r="Z329" s="93">
        <v>660</v>
      </c>
      <c r="AA329" s="93">
        <v>660</v>
      </c>
      <c r="AB329" s="93">
        <v>660</v>
      </c>
      <c r="AC329" s="94">
        <v>660</v>
      </c>
      <c r="AD329" s="94">
        <v>660</v>
      </c>
      <c r="AE329" s="93">
        <v>660</v>
      </c>
      <c r="AF329" s="138">
        <v>660</v>
      </c>
      <c r="AG329" s="93">
        <v>660</v>
      </c>
      <c r="AH329" s="139">
        <v>660</v>
      </c>
      <c r="AI329" s="139">
        <v>660</v>
      </c>
      <c r="AJ329" s="154">
        <v>661</v>
      </c>
    </row>
    <row r="330" ht="18" customHeight="1" outlineLevel="1" spans="2:36">
      <c r="B330" s="161"/>
      <c r="C330" s="91" t="s">
        <v>190</v>
      </c>
      <c r="D330" s="92">
        <v>0</v>
      </c>
      <c r="E330" s="92">
        <f>SUM(F330:AI330)</f>
        <v>0</v>
      </c>
      <c r="F330" s="95">
        <f t="shared" ref="F330:V330" si="209">F325*F328*F329</f>
        <v>0</v>
      </c>
      <c r="G330" s="95">
        <f t="shared" si="209"/>
        <v>0</v>
      </c>
      <c r="H330" s="96">
        <f t="shared" si="209"/>
        <v>0</v>
      </c>
      <c r="I330" s="96">
        <f t="shared" si="209"/>
        <v>0</v>
      </c>
      <c r="J330" s="95">
        <f t="shared" si="209"/>
        <v>0</v>
      </c>
      <c r="K330" s="95">
        <f t="shared" si="209"/>
        <v>0</v>
      </c>
      <c r="L330" s="95">
        <f t="shared" si="209"/>
        <v>0</v>
      </c>
      <c r="M330" s="95">
        <f t="shared" si="209"/>
        <v>0</v>
      </c>
      <c r="N330" s="95">
        <v>0</v>
      </c>
      <c r="O330" s="96">
        <f t="shared" si="209"/>
        <v>0</v>
      </c>
      <c r="P330" s="96">
        <f t="shared" si="209"/>
        <v>0</v>
      </c>
      <c r="Q330" s="96">
        <f t="shared" si="209"/>
        <v>0</v>
      </c>
      <c r="R330" s="95">
        <f>R325*R328*R329*0.35</f>
        <v>0</v>
      </c>
      <c r="S330" s="95">
        <f>S325*S328*S329*0.45</f>
        <v>0</v>
      </c>
      <c r="T330" s="95">
        <f>T325*T328*T329*0.65</f>
        <v>0</v>
      </c>
      <c r="U330" s="95">
        <f>U325*U328*U329*0.85</f>
        <v>0</v>
      </c>
      <c r="V330" s="96">
        <f t="shared" si="209"/>
        <v>0</v>
      </c>
      <c r="W330" s="123">
        <f>W325*W328*W329*0.35</f>
        <v>0</v>
      </c>
      <c r="X330" s="128">
        <f>X325*X328*X329</f>
        <v>0</v>
      </c>
      <c r="Y330" s="128">
        <f>Y325*Y328*Y329*0.45</f>
        <v>0</v>
      </c>
      <c r="Z330" s="128">
        <f>Z325*Z328*Z329*0.55</f>
        <v>0</v>
      </c>
      <c r="AA330" s="128">
        <f>AA325*AA328*AA329*0.65</f>
        <v>0</v>
      </c>
      <c r="AB330" s="128">
        <f>AB325*AB328*AB329*0.75</f>
        <v>0</v>
      </c>
      <c r="AC330" s="96">
        <f>AC325*AC328*AC329*0.85</f>
        <v>0</v>
      </c>
      <c r="AD330" s="96">
        <f>AD325*AD328*AD329*0.95</f>
        <v>0</v>
      </c>
      <c r="AE330" s="95">
        <f t="shared" ref="AE330:AJ330" si="210">AE325*AE328*AE329</f>
        <v>0</v>
      </c>
      <c r="AF330" s="139">
        <f t="shared" si="210"/>
        <v>0</v>
      </c>
      <c r="AG330" s="95">
        <f t="shared" si="210"/>
        <v>0</v>
      </c>
      <c r="AH330" s="139">
        <f t="shared" si="210"/>
        <v>0</v>
      </c>
      <c r="AI330" s="139">
        <f t="shared" si="210"/>
        <v>0</v>
      </c>
      <c r="AJ330" s="154">
        <f t="shared" si="210"/>
        <v>0</v>
      </c>
    </row>
    <row r="331" ht="18" customHeight="1" outlineLevel="1" spans="2:36">
      <c r="B331" s="162"/>
      <c r="C331" s="91" t="s">
        <v>191</v>
      </c>
      <c r="D331" s="92"/>
      <c r="E331" s="108">
        <f>SUM(F331:AJ331)</f>
        <v>0</v>
      </c>
      <c r="F331" s="98"/>
      <c r="G331" s="99"/>
      <c r="H331" s="100"/>
      <c r="I331" s="100"/>
      <c r="J331" s="99"/>
      <c r="K331" s="99"/>
      <c r="L331" s="95"/>
      <c r="M331" s="95"/>
      <c r="N331" s="95"/>
      <c r="O331" s="115"/>
      <c r="P331" s="115"/>
      <c r="Q331" s="115"/>
      <c r="R331" s="95"/>
      <c r="S331" s="95"/>
      <c r="T331" s="95"/>
      <c r="U331" s="95"/>
      <c r="V331" s="96"/>
      <c r="W331" s="96"/>
      <c r="X331" s="95"/>
      <c r="Y331" s="128"/>
      <c r="Z331" s="95"/>
      <c r="AA331" s="95"/>
      <c r="AB331" s="95"/>
      <c r="AC331" s="96"/>
      <c r="AD331" s="96"/>
      <c r="AE331" s="95"/>
      <c r="AF331" s="139"/>
      <c r="AG331" s="95"/>
      <c r="AH331" s="139"/>
      <c r="AI331" s="139"/>
      <c r="AJ331" s="154"/>
    </row>
    <row r="332" ht="18" customHeight="1" outlineLevel="1" spans="2:36">
      <c r="B332" s="161"/>
      <c r="C332" s="91" t="s">
        <v>192</v>
      </c>
      <c r="D332" s="92"/>
      <c r="E332" s="92"/>
      <c r="F332" s="95">
        <f t="shared" ref="F332:H332" si="211">F331-F330</f>
        <v>0</v>
      </c>
      <c r="G332" s="95">
        <f t="shared" si="211"/>
        <v>0</v>
      </c>
      <c r="H332" s="96">
        <f t="shared" si="211"/>
        <v>0</v>
      </c>
      <c r="I332" s="96"/>
      <c r="J332" s="95">
        <f t="shared" ref="J332:AJ332" si="212">J331-J330</f>
        <v>0</v>
      </c>
      <c r="K332" s="95">
        <f t="shared" si="212"/>
        <v>0</v>
      </c>
      <c r="L332" s="95">
        <f t="shared" si="212"/>
        <v>0</v>
      </c>
      <c r="M332" s="95">
        <f t="shared" si="212"/>
        <v>0</v>
      </c>
      <c r="N332" s="95">
        <v>0</v>
      </c>
      <c r="O332" s="96">
        <f t="shared" si="212"/>
        <v>0</v>
      </c>
      <c r="P332" s="96">
        <f t="shared" si="212"/>
        <v>0</v>
      </c>
      <c r="Q332" s="96">
        <f t="shared" si="212"/>
        <v>0</v>
      </c>
      <c r="R332" s="95">
        <f t="shared" si="212"/>
        <v>0</v>
      </c>
      <c r="S332" s="95">
        <f t="shared" si="212"/>
        <v>0</v>
      </c>
      <c r="T332" s="95">
        <f t="shared" si="212"/>
        <v>0</v>
      </c>
      <c r="U332" s="95">
        <f t="shared" si="212"/>
        <v>0</v>
      </c>
      <c r="V332" s="96">
        <f t="shared" si="212"/>
        <v>0</v>
      </c>
      <c r="W332" s="123">
        <f t="shared" si="212"/>
        <v>0</v>
      </c>
      <c r="X332" s="128">
        <f t="shared" si="212"/>
        <v>0</v>
      </c>
      <c r="Y332" s="128">
        <f t="shared" si="212"/>
        <v>0</v>
      </c>
      <c r="Z332" s="128">
        <f t="shared" si="212"/>
        <v>0</v>
      </c>
      <c r="AA332" s="128">
        <f t="shared" si="212"/>
        <v>0</v>
      </c>
      <c r="AB332" s="128">
        <f t="shared" si="212"/>
        <v>0</v>
      </c>
      <c r="AC332" s="96">
        <f t="shared" si="212"/>
        <v>0</v>
      </c>
      <c r="AD332" s="96">
        <f t="shared" si="212"/>
        <v>0</v>
      </c>
      <c r="AE332" s="95">
        <f t="shared" si="212"/>
        <v>0</v>
      </c>
      <c r="AF332" s="139">
        <f t="shared" si="212"/>
        <v>0</v>
      </c>
      <c r="AG332" s="95">
        <f t="shared" si="212"/>
        <v>0</v>
      </c>
      <c r="AH332" s="139">
        <f t="shared" si="212"/>
        <v>0</v>
      </c>
      <c r="AI332" s="139">
        <f t="shared" si="212"/>
        <v>0</v>
      </c>
      <c r="AJ332" s="154">
        <f t="shared" si="212"/>
        <v>0</v>
      </c>
    </row>
    <row r="333" ht="18" customHeight="1" outlineLevel="1" spans="2:36">
      <c r="B333" s="161"/>
      <c r="C333" s="91" t="s">
        <v>193</v>
      </c>
      <c r="D333" s="92"/>
      <c r="E333" s="92"/>
      <c r="F333" s="95">
        <f t="shared" ref="F333:H333" si="213">E333+F331</f>
        <v>0</v>
      </c>
      <c r="G333" s="95">
        <f t="shared" si="213"/>
        <v>0</v>
      </c>
      <c r="H333" s="96">
        <f t="shared" si="213"/>
        <v>0</v>
      </c>
      <c r="I333" s="96"/>
      <c r="J333" s="95">
        <f t="shared" ref="J333:AJ333" si="214">I333+J331</f>
        <v>0</v>
      </c>
      <c r="K333" s="95">
        <f t="shared" si="214"/>
        <v>0</v>
      </c>
      <c r="L333" s="95">
        <f t="shared" si="214"/>
        <v>0</v>
      </c>
      <c r="M333" s="95">
        <f t="shared" si="214"/>
        <v>0</v>
      </c>
      <c r="N333" s="95">
        <v>0</v>
      </c>
      <c r="O333" s="96">
        <f t="shared" si="214"/>
        <v>0</v>
      </c>
      <c r="P333" s="96">
        <f t="shared" si="214"/>
        <v>0</v>
      </c>
      <c r="Q333" s="96">
        <f t="shared" si="214"/>
        <v>0</v>
      </c>
      <c r="R333" s="95">
        <f t="shared" si="214"/>
        <v>0</v>
      </c>
      <c r="S333" s="95">
        <f t="shared" si="214"/>
        <v>0</v>
      </c>
      <c r="T333" s="95">
        <f t="shared" si="214"/>
        <v>0</v>
      </c>
      <c r="U333" s="95">
        <f t="shared" si="214"/>
        <v>0</v>
      </c>
      <c r="V333" s="96">
        <f t="shared" si="214"/>
        <v>0</v>
      </c>
      <c r="W333" s="123">
        <f t="shared" si="214"/>
        <v>0</v>
      </c>
      <c r="X333" s="128">
        <f t="shared" si="214"/>
        <v>0</v>
      </c>
      <c r="Y333" s="128">
        <f t="shared" si="214"/>
        <v>0</v>
      </c>
      <c r="Z333" s="128">
        <f t="shared" si="214"/>
        <v>0</v>
      </c>
      <c r="AA333" s="128">
        <f t="shared" si="214"/>
        <v>0</v>
      </c>
      <c r="AB333" s="128">
        <f t="shared" si="214"/>
        <v>0</v>
      </c>
      <c r="AC333" s="96">
        <f t="shared" si="214"/>
        <v>0</v>
      </c>
      <c r="AD333" s="96">
        <f t="shared" si="214"/>
        <v>0</v>
      </c>
      <c r="AE333" s="95">
        <f t="shared" si="214"/>
        <v>0</v>
      </c>
      <c r="AF333" s="139">
        <f t="shared" si="214"/>
        <v>0</v>
      </c>
      <c r="AG333" s="95">
        <f t="shared" si="214"/>
        <v>0</v>
      </c>
      <c r="AH333" s="139">
        <f t="shared" si="214"/>
        <v>0</v>
      </c>
      <c r="AI333" s="139">
        <f t="shared" si="214"/>
        <v>0</v>
      </c>
      <c r="AJ333" s="154">
        <f t="shared" si="214"/>
        <v>0</v>
      </c>
    </row>
    <row r="334" ht="18" customHeight="1" spans="2:36">
      <c r="B334" s="164"/>
      <c r="C334" s="102" t="s">
        <v>194</v>
      </c>
      <c r="D334" s="103"/>
      <c r="E334" s="103"/>
      <c r="F334" s="104" t="str">
        <f t="shared" ref="F334:AJ334" si="215">IF(F331&gt;0,F331/F330,"")</f>
        <v/>
      </c>
      <c r="G334" s="104" t="str">
        <f t="shared" si="215"/>
        <v/>
      </c>
      <c r="H334" s="105" t="str">
        <f t="shared" si="215"/>
        <v/>
      </c>
      <c r="I334" s="105" t="str">
        <f t="shared" si="215"/>
        <v/>
      </c>
      <c r="J334" s="104" t="str">
        <f t="shared" si="215"/>
        <v/>
      </c>
      <c r="K334" s="104" t="str">
        <f t="shared" si="215"/>
        <v/>
      </c>
      <c r="L334" s="104" t="str">
        <f t="shared" si="215"/>
        <v/>
      </c>
      <c r="M334" s="104" t="str">
        <f t="shared" si="215"/>
        <v/>
      </c>
      <c r="N334" s="104" t="s">
        <v>195</v>
      </c>
      <c r="O334" s="105" t="str">
        <f t="shared" si="215"/>
        <v/>
      </c>
      <c r="P334" s="105" t="str">
        <f t="shared" si="215"/>
        <v/>
      </c>
      <c r="Q334" s="105" t="str">
        <f t="shared" si="215"/>
        <v/>
      </c>
      <c r="R334" s="104" t="str">
        <f t="shared" si="215"/>
        <v/>
      </c>
      <c r="S334" s="104" t="str">
        <f t="shared" si="215"/>
        <v/>
      </c>
      <c r="T334" s="104" t="str">
        <f t="shared" si="215"/>
        <v/>
      </c>
      <c r="U334" s="104" t="str">
        <f t="shared" si="215"/>
        <v/>
      </c>
      <c r="V334" s="105" t="str">
        <f t="shared" si="215"/>
        <v/>
      </c>
      <c r="W334" s="105" t="str">
        <f t="shared" si="215"/>
        <v/>
      </c>
      <c r="X334" s="104" t="str">
        <f t="shared" si="215"/>
        <v/>
      </c>
      <c r="Y334" s="188" t="str">
        <f t="shared" si="215"/>
        <v/>
      </c>
      <c r="Z334" s="142" t="str">
        <f t="shared" si="215"/>
        <v/>
      </c>
      <c r="AA334" s="104" t="str">
        <f t="shared" si="215"/>
        <v/>
      </c>
      <c r="AB334" s="104" t="str">
        <f t="shared" si="215"/>
        <v/>
      </c>
      <c r="AC334" s="105" t="str">
        <f t="shared" si="215"/>
        <v/>
      </c>
      <c r="AD334" s="105" t="str">
        <f t="shared" si="215"/>
        <v/>
      </c>
      <c r="AE334" s="104" t="str">
        <f t="shared" si="215"/>
        <v/>
      </c>
      <c r="AF334" s="141" t="str">
        <f t="shared" si="215"/>
        <v/>
      </c>
      <c r="AG334" s="104" t="str">
        <f t="shared" si="215"/>
        <v/>
      </c>
      <c r="AH334" s="155" t="str">
        <f t="shared" si="215"/>
        <v/>
      </c>
      <c r="AI334" s="155" t="str">
        <f t="shared" si="215"/>
        <v/>
      </c>
      <c r="AJ334" s="156" t="str">
        <f t="shared" si="215"/>
        <v/>
      </c>
    </row>
    <row r="335" ht="18" customHeight="1" outlineLevel="1" spans="2:36">
      <c r="B335" s="160" t="s">
        <v>134</v>
      </c>
      <c r="C335" s="86" t="s">
        <v>185</v>
      </c>
      <c r="D335" s="87"/>
      <c r="E335" s="87"/>
      <c r="F335" s="88"/>
      <c r="G335" s="88"/>
      <c r="H335" s="89"/>
      <c r="I335" s="89"/>
      <c r="J335" s="88"/>
      <c r="K335" s="88"/>
      <c r="L335" s="88"/>
      <c r="M335" s="88"/>
      <c r="N335" s="88"/>
      <c r="O335" s="89"/>
      <c r="P335" s="89"/>
      <c r="Q335" s="89"/>
      <c r="R335" s="88"/>
      <c r="S335" s="88"/>
      <c r="T335" s="88"/>
      <c r="U335" s="88"/>
      <c r="V335" s="89"/>
      <c r="W335" s="126"/>
      <c r="X335" s="127">
        <v>1</v>
      </c>
      <c r="Y335" s="127">
        <v>1</v>
      </c>
      <c r="Z335" s="127">
        <v>1</v>
      </c>
      <c r="AA335" s="127">
        <v>1</v>
      </c>
      <c r="AB335" s="127"/>
      <c r="AC335" s="89"/>
      <c r="AD335" s="89"/>
      <c r="AE335" s="88"/>
      <c r="AF335" s="137">
        <v>1</v>
      </c>
      <c r="AG335" s="88">
        <v>1</v>
      </c>
      <c r="AH335" s="157">
        <v>1</v>
      </c>
      <c r="AI335" s="157"/>
      <c r="AJ335" s="158"/>
    </row>
    <row r="336" ht="18" customHeight="1" outlineLevel="1" spans="2:36">
      <c r="B336" s="161"/>
      <c r="C336" s="91" t="s">
        <v>186</v>
      </c>
      <c r="D336" s="92"/>
      <c r="E336" s="92"/>
      <c r="F336" s="93">
        <v>46</v>
      </c>
      <c r="G336" s="93">
        <v>46</v>
      </c>
      <c r="H336" s="94">
        <v>46</v>
      </c>
      <c r="I336" s="94">
        <v>46</v>
      </c>
      <c r="J336" s="93">
        <v>46</v>
      </c>
      <c r="K336" s="93">
        <v>46</v>
      </c>
      <c r="L336" s="93">
        <v>46</v>
      </c>
      <c r="M336" s="93">
        <v>46</v>
      </c>
      <c r="N336" s="93">
        <v>46</v>
      </c>
      <c r="O336" s="94">
        <v>46</v>
      </c>
      <c r="P336" s="94">
        <v>46</v>
      </c>
      <c r="Q336" s="94">
        <v>46</v>
      </c>
      <c r="R336" s="93">
        <v>46</v>
      </c>
      <c r="S336" s="93">
        <v>46</v>
      </c>
      <c r="T336" s="93">
        <v>46</v>
      </c>
      <c r="U336" s="93">
        <v>46</v>
      </c>
      <c r="V336" s="94">
        <v>46</v>
      </c>
      <c r="W336" s="123">
        <v>46</v>
      </c>
      <c r="X336" s="128">
        <v>38</v>
      </c>
      <c r="Y336" s="128">
        <v>46</v>
      </c>
      <c r="Z336" s="128">
        <v>46</v>
      </c>
      <c r="AA336" s="128">
        <v>46</v>
      </c>
      <c r="AB336" s="128">
        <v>46</v>
      </c>
      <c r="AC336" s="94">
        <v>46</v>
      </c>
      <c r="AD336" s="94">
        <v>46</v>
      </c>
      <c r="AE336" s="93">
        <v>46</v>
      </c>
      <c r="AF336" s="138">
        <v>38</v>
      </c>
      <c r="AG336" s="93">
        <v>46</v>
      </c>
      <c r="AH336" s="139">
        <v>46</v>
      </c>
      <c r="AI336" s="139">
        <v>46</v>
      </c>
      <c r="AJ336" s="154">
        <v>47</v>
      </c>
    </row>
    <row r="337" ht="18" customHeight="1" outlineLevel="1" spans="2:36">
      <c r="B337" s="161"/>
      <c r="C337" s="91" t="s">
        <v>187</v>
      </c>
      <c r="D337" s="92"/>
      <c r="E337" s="92"/>
      <c r="F337" s="93">
        <f t="shared" ref="F337:AJ337" si="216">F335*F336</f>
        <v>0</v>
      </c>
      <c r="G337" s="93">
        <f t="shared" si="216"/>
        <v>0</v>
      </c>
      <c r="H337" s="94">
        <f t="shared" si="216"/>
        <v>0</v>
      </c>
      <c r="I337" s="94">
        <f t="shared" si="216"/>
        <v>0</v>
      </c>
      <c r="J337" s="93">
        <f t="shared" si="216"/>
        <v>0</v>
      </c>
      <c r="K337" s="93">
        <f t="shared" si="216"/>
        <v>0</v>
      </c>
      <c r="L337" s="93">
        <f t="shared" si="216"/>
        <v>0</v>
      </c>
      <c r="M337" s="93">
        <f t="shared" si="216"/>
        <v>0</v>
      </c>
      <c r="N337" s="93">
        <v>0</v>
      </c>
      <c r="O337" s="94">
        <f t="shared" si="216"/>
        <v>0</v>
      </c>
      <c r="P337" s="94">
        <f t="shared" si="216"/>
        <v>0</v>
      </c>
      <c r="Q337" s="94">
        <f t="shared" si="216"/>
        <v>0</v>
      </c>
      <c r="R337" s="93">
        <f t="shared" si="216"/>
        <v>0</v>
      </c>
      <c r="S337" s="93">
        <f t="shared" si="216"/>
        <v>0</v>
      </c>
      <c r="T337" s="93">
        <f t="shared" si="216"/>
        <v>0</v>
      </c>
      <c r="U337" s="93">
        <f t="shared" si="216"/>
        <v>0</v>
      </c>
      <c r="V337" s="94">
        <f t="shared" si="216"/>
        <v>0</v>
      </c>
      <c r="W337" s="96">
        <f t="shared" si="216"/>
        <v>0</v>
      </c>
      <c r="X337" s="93">
        <f t="shared" si="216"/>
        <v>38</v>
      </c>
      <c r="Y337" s="93">
        <f t="shared" si="216"/>
        <v>46</v>
      </c>
      <c r="Z337" s="93">
        <f t="shared" si="216"/>
        <v>46</v>
      </c>
      <c r="AA337" s="93">
        <f t="shared" si="216"/>
        <v>46</v>
      </c>
      <c r="AB337" s="93">
        <f t="shared" si="216"/>
        <v>0</v>
      </c>
      <c r="AC337" s="94">
        <f t="shared" si="216"/>
        <v>0</v>
      </c>
      <c r="AD337" s="94">
        <f t="shared" si="216"/>
        <v>0</v>
      </c>
      <c r="AE337" s="93">
        <f t="shared" si="216"/>
        <v>0</v>
      </c>
      <c r="AF337" s="138">
        <f t="shared" si="216"/>
        <v>38</v>
      </c>
      <c r="AG337" s="93">
        <f t="shared" si="216"/>
        <v>46</v>
      </c>
      <c r="AH337" s="139">
        <f t="shared" si="216"/>
        <v>46</v>
      </c>
      <c r="AI337" s="139">
        <f t="shared" si="216"/>
        <v>0</v>
      </c>
      <c r="AJ337" s="154">
        <f t="shared" si="216"/>
        <v>0</v>
      </c>
    </row>
    <row r="338" ht="18" customHeight="1" outlineLevel="1" spans="2:36">
      <c r="B338" s="161"/>
      <c r="C338" s="91" t="s">
        <v>188</v>
      </c>
      <c r="D338" s="92"/>
      <c r="E338" s="92"/>
      <c r="F338" s="93"/>
      <c r="G338" s="93"/>
      <c r="H338" s="94"/>
      <c r="I338" s="94"/>
      <c r="J338" s="93">
        <v>4</v>
      </c>
      <c r="K338" s="93">
        <v>8</v>
      </c>
      <c r="L338" s="93"/>
      <c r="M338" s="93">
        <v>11</v>
      </c>
      <c r="N338" s="93">
        <v>8</v>
      </c>
      <c r="O338" s="94">
        <v>13</v>
      </c>
      <c r="P338" s="94">
        <v>13</v>
      </c>
      <c r="Q338" s="94">
        <v>13</v>
      </c>
      <c r="R338" s="93">
        <v>13</v>
      </c>
      <c r="S338" s="93">
        <v>13</v>
      </c>
      <c r="T338" s="93">
        <v>11.5</v>
      </c>
      <c r="U338" s="93">
        <v>2</v>
      </c>
      <c r="V338" s="94">
        <v>11.5</v>
      </c>
      <c r="W338" s="96"/>
      <c r="X338" s="93">
        <v>8</v>
      </c>
      <c r="Y338" s="128">
        <v>11.5</v>
      </c>
      <c r="Z338" s="93">
        <v>11.5</v>
      </c>
      <c r="AA338" s="93">
        <v>11.5</v>
      </c>
      <c r="AB338" s="93">
        <v>8</v>
      </c>
      <c r="AC338" s="94">
        <v>11.5</v>
      </c>
      <c r="AD338" s="94"/>
      <c r="AE338" s="93">
        <v>11.5</v>
      </c>
      <c r="AF338" s="93">
        <v>11.5</v>
      </c>
      <c r="AG338" s="93">
        <v>11.5</v>
      </c>
      <c r="AH338" s="139">
        <v>11.5</v>
      </c>
      <c r="AI338" s="139">
        <v>11.5</v>
      </c>
      <c r="AJ338" s="154"/>
    </row>
    <row r="339" ht="18" customHeight="1" outlineLevel="1" spans="2:36">
      <c r="B339" s="161"/>
      <c r="C339" s="91" t="s">
        <v>189</v>
      </c>
      <c r="D339" s="92"/>
      <c r="E339" s="92"/>
      <c r="F339" s="93">
        <v>660</v>
      </c>
      <c r="G339" s="93">
        <v>660</v>
      </c>
      <c r="H339" s="94">
        <v>660</v>
      </c>
      <c r="I339" s="94">
        <v>660</v>
      </c>
      <c r="J339" s="93">
        <v>660</v>
      </c>
      <c r="K339" s="93">
        <v>660</v>
      </c>
      <c r="L339" s="93">
        <v>660</v>
      </c>
      <c r="M339" s="93">
        <v>660</v>
      </c>
      <c r="N339" s="93">
        <v>660</v>
      </c>
      <c r="O339" s="94">
        <v>660</v>
      </c>
      <c r="P339" s="94">
        <v>660</v>
      </c>
      <c r="Q339" s="94">
        <v>660</v>
      </c>
      <c r="R339" s="93">
        <v>660</v>
      </c>
      <c r="S339" s="93">
        <v>660</v>
      </c>
      <c r="T339" s="93">
        <v>660</v>
      </c>
      <c r="U339" s="93">
        <v>660</v>
      </c>
      <c r="V339" s="94">
        <v>660</v>
      </c>
      <c r="W339" s="96">
        <v>660</v>
      </c>
      <c r="X339" s="93">
        <v>660</v>
      </c>
      <c r="Y339" s="128">
        <v>660</v>
      </c>
      <c r="Z339" s="93">
        <v>660</v>
      </c>
      <c r="AA339" s="93">
        <v>660</v>
      </c>
      <c r="AB339" s="93">
        <v>660</v>
      </c>
      <c r="AC339" s="94">
        <v>660</v>
      </c>
      <c r="AD339" s="94">
        <v>660</v>
      </c>
      <c r="AE339" s="93">
        <v>660</v>
      </c>
      <c r="AF339" s="138">
        <v>660</v>
      </c>
      <c r="AG339" s="93">
        <v>660</v>
      </c>
      <c r="AH339" s="139">
        <v>660</v>
      </c>
      <c r="AI339" s="139">
        <v>660</v>
      </c>
      <c r="AJ339" s="154">
        <v>661</v>
      </c>
    </row>
    <row r="340" ht="18" customHeight="1" outlineLevel="1" spans="2:36">
      <c r="B340" s="161"/>
      <c r="C340" s="91" t="s">
        <v>190</v>
      </c>
      <c r="D340" s="92">
        <v>54800</v>
      </c>
      <c r="E340" s="92">
        <f>SUM(F340:AI340)</f>
        <v>42520.5</v>
      </c>
      <c r="F340" s="95">
        <f t="shared" ref="F340:V340" si="217">F335*F338*F339</f>
        <v>0</v>
      </c>
      <c r="G340" s="95">
        <f t="shared" si="217"/>
        <v>0</v>
      </c>
      <c r="H340" s="96">
        <f t="shared" si="217"/>
        <v>0</v>
      </c>
      <c r="I340" s="96">
        <f t="shared" si="217"/>
        <v>0</v>
      </c>
      <c r="J340" s="95">
        <f>J335*J338*J339*0.35</f>
        <v>0</v>
      </c>
      <c r="K340" s="95">
        <f>K335*K338*K339*0.65</f>
        <v>0</v>
      </c>
      <c r="L340" s="95">
        <f t="shared" si="217"/>
        <v>0</v>
      </c>
      <c r="M340" s="95">
        <f>M335*M338*M339*0.55</f>
        <v>0</v>
      </c>
      <c r="N340" s="95">
        <v>0</v>
      </c>
      <c r="O340" s="96">
        <f>O335*O338*O339*0.75</f>
        <v>0</v>
      </c>
      <c r="P340" s="96">
        <f>P335*P338*P339*0.85</f>
        <v>0</v>
      </c>
      <c r="Q340" s="96">
        <f>Q335*Q338*Q339*0.95</f>
        <v>0</v>
      </c>
      <c r="R340" s="95">
        <f t="shared" si="217"/>
        <v>0</v>
      </c>
      <c r="S340" s="95">
        <f t="shared" si="217"/>
        <v>0</v>
      </c>
      <c r="T340" s="95">
        <f t="shared" si="217"/>
        <v>0</v>
      </c>
      <c r="U340" s="95">
        <f t="shared" si="217"/>
        <v>0</v>
      </c>
      <c r="V340" s="96">
        <f t="shared" si="217"/>
        <v>0</v>
      </c>
      <c r="W340" s="123">
        <f>W335*W338*W339*0.35</f>
        <v>0</v>
      </c>
      <c r="X340" s="128">
        <f>X335*X338*X339*0.65</f>
        <v>3432</v>
      </c>
      <c r="Y340" s="128">
        <f>Y335*Y338*Y339*0.75</f>
        <v>5692.5</v>
      </c>
      <c r="Z340" s="128">
        <f>Z335*Z338*Z339*0.85</f>
        <v>6451.5</v>
      </c>
      <c r="AA340" s="128">
        <f>AA335*AA338*AA339*0.95</f>
        <v>7210.5</v>
      </c>
      <c r="AB340" s="128">
        <f>AB335*AB338*AB339</f>
        <v>0</v>
      </c>
      <c r="AC340" s="96">
        <f>AC335*AC338*AC339</f>
        <v>0</v>
      </c>
      <c r="AD340" s="96">
        <f>AD335*AD338*AD339*0.95</f>
        <v>0</v>
      </c>
      <c r="AE340" s="95">
        <f t="shared" ref="AE340:AJ340" si="218">AE335*AE338*AE339</f>
        <v>0</v>
      </c>
      <c r="AF340" s="139">
        <f t="shared" si="218"/>
        <v>7590</v>
      </c>
      <c r="AG340" s="95">
        <f>AG335*AG338*AG339*0.8</f>
        <v>6072</v>
      </c>
      <c r="AH340" s="139">
        <f>AH335*AH338*AH339*0.8</f>
        <v>6072</v>
      </c>
      <c r="AI340" s="139">
        <f t="shared" si="218"/>
        <v>0</v>
      </c>
      <c r="AJ340" s="154">
        <f t="shared" si="218"/>
        <v>0</v>
      </c>
    </row>
    <row r="341" ht="18" customHeight="1" outlineLevel="1" spans="2:36">
      <c r="B341" s="162"/>
      <c r="C341" s="91" t="s">
        <v>191</v>
      </c>
      <c r="D341" s="92"/>
      <c r="E341" s="108">
        <f>SUM(F341:AJ341)</f>
        <v>32077</v>
      </c>
      <c r="F341" s="98"/>
      <c r="G341" s="99"/>
      <c r="H341" s="100"/>
      <c r="I341" s="100"/>
      <c r="J341" s="99"/>
      <c r="K341" s="99"/>
      <c r="L341" s="95"/>
      <c r="M341" s="95"/>
      <c r="N341" s="95"/>
      <c r="O341" s="115"/>
      <c r="P341" s="115"/>
      <c r="Q341" s="115"/>
      <c r="R341" s="95"/>
      <c r="S341" s="95"/>
      <c r="T341" s="95"/>
      <c r="U341" s="95"/>
      <c r="V341" s="96"/>
      <c r="W341" s="96"/>
      <c r="X341" s="95">
        <v>1900</v>
      </c>
      <c r="Y341" s="128">
        <v>4200</v>
      </c>
      <c r="Z341" s="95">
        <v>5386</v>
      </c>
      <c r="AA341" s="95">
        <v>8264</v>
      </c>
      <c r="AB341" s="95">
        <v>977</v>
      </c>
      <c r="AC341" s="96"/>
      <c r="AD341" s="96"/>
      <c r="AE341" s="95"/>
      <c r="AF341" s="139"/>
      <c r="AG341" s="95">
        <v>6350</v>
      </c>
      <c r="AH341" s="139">
        <v>5000</v>
      </c>
      <c r="AI341" s="139"/>
      <c r="AJ341" s="154"/>
    </row>
    <row r="342" ht="18" customHeight="1" outlineLevel="1" spans="2:36">
      <c r="B342" s="161"/>
      <c r="C342" s="91" t="s">
        <v>192</v>
      </c>
      <c r="D342" s="92"/>
      <c r="E342" s="92"/>
      <c r="F342" s="95">
        <f t="shared" ref="F342:H342" si="219">F341-F340</f>
        <v>0</v>
      </c>
      <c r="G342" s="95">
        <f t="shared" si="219"/>
        <v>0</v>
      </c>
      <c r="H342" s="96">
        <f t="shared" si="219"/>
        <v>0</v>
      </c>
      <c r="I342" s="96"/>
      <c r="J342" s="95">
        <f t="shared" ref="J342:AJ342" si="220">J341-J340</f>
        <v>0</v>
      </c>
      <c r="K342" s="95">
        <f t="shared" si="220"/>
        <v>0</v>
      </c>
      <c r="L342" s="95">
        <f t="shared" si="220"/>
        <v>0</v>
      </c>
      <c r="M342" s="95">
        <f t="shared" si="220"/>
        <v>0</v>
      </c>
      <c r="N342" s="95">
        <v>0</v>
      </c>
      <c r="O342" s="96">
        <f t="shared" si="220"/>
        <v>0</v>
      </c>
      <c r="P342" s="96">
        <f t="shared" si="220"/>
        <v>0</v>
      </c>
      <c r="Q342" s="96">
        <f t="shared" si="220"/>
        <v>0</v>
      </c>
      <c r="R342" s="95">
        <f t="shared" si="220"/>
        <v>0</v>
      </c>
      <c r="S342" s="95">
        <f t="shared" si="220"/>
        <v>0</v>
      </c>
      <c r="T342" s="95">
        <f t="shared" si="220"/>
        <v>0</v>
      </c>
      <c r="U342" s="95">
        <f t="shared" si="220"/>
        <v>0</v>
      </c>
      <c r="V342" s="96">
        <f t="shared" si="220"/>
        <v>0</v>
      </c>
      <c r="W342" s="123">
        <f t="shared" si="220"/>
        <v>0</v>
      </c>
      <c r="X342" s="128">
        <f t="shared" si="220"/>
        <v>-1532</v>
      </c>
      <c r="Y342" s="128">
        <f t="shared" si="220"/>
        <v>-1492.5</v>
      </c>
      <c r="Z342" s="128">
        <f t="shared" si="220"/>
        <v>-1065.5</v>
      </c>
      <c r="AA342" s="128">
        <f t="shared" si="220"/>
        <v>1053.5</v>
      </c>
      <c r="AB342" s="128">
        <f t="shared" si="220"/>
        <v>977</v>
      </c>
      <c r="AC342" s="96">
        <f t="shared" si="220"/>
        <v>0</v>
      </c>
      <c r="AD342" s="96">
        <f t="shared" si="220"/>
        <v>0</v>
      </c>
      <c r="AE342" s="95">
        <f t="shared" si="220"/>
        <v>0</v>
      </c>
      <c r="AF342" s="139">
        <f t="shared" si="220"/>
        <v>-7590</v>
      </c>
      <c r="AG342" s="95">
        <f t="shared" si="220"/>
        <v>278</v>
      </c>
      <c r="AH342" s="139">
        <f t="shared" si="220"/>
        <v>-1072</v>
      </c>
      <c r="AI342" s="139">
        <f t="shared" si="220"/>
        <v>0</v>
      </c>
      <c r="AJ342" s="154">
        <f t="shared" si="220"/>
        <v>0</v>
      </c>
    </row>
    <row r="343" ht="18" customHeight="1" outlineLevel="1" spans="2:36">
      <c r="B343" s="161"/>
      <c r="C343" s="91" t="s">
        <v>193</v>
      </c>
      <c r="D343" s="92"/>
      <c r="E343" s="92"/>
      <c r="F343" s="95">
        <f t="shared" ref="F343:H343" si="221">E343+F341</f>
        <v>0</v>
      </c>
      <c r="G343" s="95">
        <f t="shared" si="221"/>
        <v>0</v>
      </c>
      <c r="H343" s="96">
        <f t="shared" si="221"/>
        <v>0</v>
      </c>
      <c r="I343" s="96"/>
      <c r="J343" s="95">
        <f t="shared" ref="J343:AJ343" si="222">I343+J341</f>
        <v>0</v>
      </c>
      <c r="K343" s="95">
        <f t="shared" si="222"/>
        <v>0</v>
      </c>
      <c r="L343" s="95">
        <f t="shared" si="222"/>
        <v>0</v>
      </c>
      <c r="M343" s="95">
        <f t="shared" si="222"/>
        <v>0</v>
      </c>
      <c r="N343" s="95">
        <v>0</v>
      </c>
      <c r="O343" s="96">
        <f t="shared" si="222"/>
        <v>0</v>
      </c>
      <c r="P343" s="96">
        <f t="shared" si="222"/>
        <v>0</v>
      </c>
      <c r="Q343" s="96">
        <f t="shared" si="222"/>
        <v>0</v>
      </c>
      <c r="R343" s="95">
        <f t="shared" si="222"/>
        <v>0</v>
      </c>
      <c r="S343" s="95">
        <f t="shared" si="222"/>
        <v>0</v>
      </c>
      <c r="T343" s="95">
        <f t="shared" si="222"/>
        <v>0</v>
      </c>
      <c r="U343" s="95">
        <f t="shared" si="222"/>
        <v>0</v>
      </c>
      <c r="V343" s="96">
        <f t="shared" si="222"/>
        <v>0</v>
      </c>
      <c r="W343" s="123">
        <f t="shared" si="222"/>
        <v>0</v>
      </c>
      <c r="X343" s="128">
        <f t="shared" si="222"/>
        <v>1900</v>
      </c>
      <c r="Y343" s="128">
        <f t="shared" si="222"/>
        <v>6100</v>
      </c>
      <c r="Z343" s="128">
        <f t="shared" si="222"/>
        <v>11486</v>
      </c>
      <c r="AA343" s="128">
        <f t="shared" si="222"/>
        <v>19750</v>
      </c>
      <c r="AB343" s="128">
        <f t="shared" si="222"/>
        <v>20727</v>
      </c>
      <c r="AC343" s="96">
        <f t="shared" si="222"/>
        <v>20727</v>
      </c>
      <c r="AD343" s="96">
        <f t="shared" si="222"/>
        <v>20727</v>
      </c>
      <c r="AE343" s="95">
        <f t="shared" si="222"/>
        <v>20727</v>
      </c>
      <c r="AF343" s="139">
        <f t="shared" si="222"/>
        <v>20727</v>
      </c>
      <c r="AG343" s="95">
        <f t="shared" si="222"/>
        <v>27077</v>
      </c>
      <c r="AH343" s="139">
        <f t="shared" si="222"/>
        <v>32077</v>
      </c>
      <c r="AI343" s="139">
        <f t="shared" si="222"/>
        <v>32077</v>
      </c>
      <c r="AJ343" s="154">
        <f t="shared" si="222"/>
        <v>32077</v>
      </c>
    </row>
    <row r="344" ht="18" customHeight="1" spans="2:36">
      <c r="B344" s="164"/>
      <c r="C344" s="102" t="s">
        <v>194</v>
      </c>
      <c r="D344" s="103"/>
      <c r="E344" s="103"/>
      <c r="F344" s="104" t="str">
        <f t="shared" ref="F344:AJ344" si="223">IF(F341&gt;0,F341/F340,"")</f>
        <v/>
      </c>
      <c r="G344" s="104" t="str">
        <f t="shared" si="223"/>
        <v/>
      </c>
      <c r="H344" s="105" t="str">
        <f t="shared" si="223"/>
        <v/>
      </c>
      <c r="I344" s="105" t="str">
        <f t="shared" si="223"/>
        <v/>
      </c>
      <c r="J344" s="104" t="str">
        <f t="shared" si="223"/>
        <v/>
      </c>
      <c r="K344" s="104" t="str">
        <f t="shared" si="223"/>
        <v/>
      </c>
      <c r="L344" s="104" t="str">
        <f t="shared" si="223"/>
        <v/>
      </c>
      <c r="M344" s="104" t="str">
        <f t="shared" si="223"/>
        <v/>
      </c>
      <c r="N344" s="104" t="s">
        <v>195</v>
      </c>
      <c r="O344" s="105" t="str">
        <f t="shared" si="223"/>
        <v/>
      </c>
      <c r="P344" s="105" t="str">
        <f t="shared" si="223"/>
        <v/>
      </c>
      <c r="Q344" s="105" t="str">
        <f t="shared" si="223"/>
        <v/>
      </c>
      <c r="R344" s="104" t="str">
        <f t="shared" si="223"/>
        <v/>
      </c>
      <c r="S344" s="104" t="str">
        <f t="shared" si="223"/>
        <v/>
      </c>
      <c r="T344" s="104" t="str">
        <f t="shared" si="223"/>
        <v/>
      </c>
      <c r="U344" s="104" t="str">
        <f t="shared" si="223"/>
        <v/>
      </c>
      <c r="V344" s="105" t="str">
        <f t="shared" si="223"/>
        <v/>
      </c>
      <c r="W344" s="105" t="str">
        <f t="shared" si="223"/>
        <v/>
      </c>
      <c r="X344" s="104">
        <f t="shared" si="223"/>
        <v>0.553613053613054</v>
      </c>
      <c r="Y344" s="104">
        <f t="shared" si="223"/>
        <v>0.737812911725955</v>
      </c>
      <c r="Z344" s="104">
        <f t="shared" si="223"/>
        <v>0.834844609780671</v>
      </c>
      <c r="AA344" s="104">
        <f t="shared" si="223"/>
        <v>1.146106372651</v>
      </c>
      <c r="AB344" s="104" t="e">
        <f t="shared" si="223"/>
        <v>#DIV/0!</v>
      </c>
      <c r="AC344" s="105" t="str">
        <f t="shared" si="223"/>
        <v/>
      </c>
      <c r="AD344" s="105" t="str">
        <f t="shared" si="223"/>
        <v/>
      </c>
      <c r="AE344" s="104" t="str">
        <f t="shared" si="223"/>
        <v/>
      </c>
      <c r="AF344" s="141" t="str">
        <f t="shared" si="223"/>
        <v/>
      </c>
      <c r="AG344" s="104">
        <f t="shared" si="223"/>
        <v>1.04578392621871</v>
      </c>
      <c r="AH344" s="104">
        <f t="shared" si="223"/>
        <v>0.823451910408432</v>
      </c>
      <c r="AI344" s="155" t="str">
        <f t="shared" si="223"/>
        <v/>
      </c>
      <c r="AJ344" s="156" t="str">
        <f t="shared" si="223"/>
        <v/>
      </c>
    </row>
    <row r="345" ht="18" customHeight="1" outlineLevel="1" spans="2:36">
      <c r="B345" s="160" t="s">
        <v>152</v>
      </c>
      <c r="C345" s="86" t="s">
        <v>185</v>
      </c>
      <c r="D345" s="87"/>
      <c r="E345" s="87"/>
      <c r="F345" s="88"/>
      <c r="G345" s="88"/>
      <c r="H345" s="89"/>
      <c r="I345" s="89"/>
      <c r="J345" s="88"/>
      <c r="K345" s="88"/>
      <c r="L345" s="88"/>
      <c r="M345" s="88"/>
      <c r="N345" s="88"/>
      <c r="O345" s="89"/>
      <c r="P345" s="89"/>
      <c r="Q345" s="89"/>
      <c r="R345" s="88"/>
      <c r="S345" s="88"/>
      <c r="T345" s="88"/>
      <c r="U345" s="88"/>
      <c r="V345" s="89"/>
      <c r="W345" s="126"/>
      <c r="X345" s="127"/>
      <c r="Y345" s="127"/>
      <c r="Z345" s="127"/>
      <c r="AA345" s="127"/>
      <c r="AB345" s="127">
        <v>1</v>
      </c>
      <c r="AC345" s="89">
        <v>1</v>
      </c>
      <c r="AD345" s="89">
        <v>1</v>
      </c>
      <c r="AE345" s="88">
        <v>1</v>
      </c>
      <c r="AF345" s="137">
        <v>1</v>
      </c>
      <c r="AG345" s="88"/>
      <c r="AH345" s="157"/>
      <c r="AI345" s="157"/>
      <c r="AJ345" s="158"/>
    </row>
    <row r="346" ht="18" customHeight="1" outlineLevel="1" spans="2:36">
      <c r="B346" s="161"/>
      <c r="C346" s="91" t="s">
        <v>186</v>
      </c>
      <c r="D346" s="92"/>
      <c r="E346" s="92"/>
      <c r="F346" s="93">
        <v>46</v>
      </c>
      <c r="G346" s="93">
        <v>46</v>
      </c>
      <c r="H346" s="94">
        <v>46</v>
      </c>
      <c r="I346" s="94">
        <v>46</v>
      </c>
      <c r="J346" s="93">
        <v>46</v>
      </c>
      <c r="K346" s="93">
        <v>46</v>
      </c>
      <c r="L346" s="93">
        <v>46</v>
      </c>
      <c r="M346" s="93">
        <v>46</v>
      </c>
      <c r="N346" s="93">
        <v>46</v>
      </c>
      <c r="O346" s="94">
        <v>46</v>
      </c>
      <c r="P346" s="94">
        <v>46</v>
      </c>
      <c r="Q346" s="94">
        <v>46</v>
      </c>
      <c r="R346" s="93">
        <v>46</v>
      </c>
      <c r="S346" s="93">
        <v>46</v>
      </c>
      <c r="T346" s="93">
        <v>46</v>
      </c>
      <c r="U346" s="93">
        <v>46</v>
      </c>
      <c r="V346" s="94">
        <v>46</v>
      </c>
      <c r="W346" s="123">
        <v>46</v>
      </c>
      <c r="X346" s="128">
        <v>38</v>
      </c>
      <c r="Y346" s="128">
        <v>46</v>
      </c>
      <c r="Z346" s="128">
        <v>46</v>
      </c>
      <c r="AA346" s="128">
        <v>46</v>
      </c>
      <c r="AB346" s="128">
        <v>32</v>
      </c>
      <c r="AC346" s="94">
        <v>32</v>
      </c>
      <c r="AD346" s="94">
        <v>32</v>
      </c>
      <c r="AE346" s="93">
        <v>32</v>
      </c>
      <c r="AF346" s="138">
        <v>32</v>
      </c>
      <c r="AG346" s="93">
        <v>46</v>
      </c>
      <c r="AH346" s="139">
        <v>46</v>
      </c>
      <c r="AI346" s="139">
        <v>46</v>
      </c>
      <c r="AJ346" s="154">
        <v>47</v>
      </c>
    </row>
    <row r="347" ht="18" customHeight="1" outlineLevel="1" spans="2:36">
      <c r="B347" s="161"/>
      <c r="C347" s="91" t="s">
        <v>187</v>
      </c>
      <c r="D347" s="92"/>
      <c r="E347" s="92"/>
      <c r="F347" s="93">
        <f t="shared" ref="F347:M347" si="224">F345*F346</f>
        <v>0</v>
      </c>
      <c r="G347" s="93">
        <f t="shared" si="224"/>
        <v>0</v>
      </c>
      <c r="H347" s="94">
        <f t="shared" si="224"/>
        <v>0</v>
      </c>
      <c r="I347" s="94">
        <f t="shared" si="224"/>
        <v>0</v>
      </c>
      <c r="J347" s="93">
        <f t="shared" si="224"/>
        <v>0</v>
      </c>
      <c r="K347" s="93">
        <f t="shared" si="224"/>
        <v>0</v>
      </c>
      <c r="L347" s="93">
        <f t="shared" si="224"/>
        <v>0</v>
      </c>
      <c r="M347" s="93">
        <f t="shared" si="224"/>
        <v>0</v>
      </c>
      <c r="N347" s="93">
        <v>0</v>
      </c>
      <c r="O347" s="94">
        <f t="shared" ref="O347:AJ347" si="225">O345*O346</f>
        <v>0</v>
      </c>
      <c r="P347" s="94">
        <f t="shared" si="225"/>
        <v>0</v>
      </c>
      <c r="Q347" s="94">
        <f t="shared" si="225"/>
        <v>0</v>
      </c>
      <c r="R347" s="93">
        <f t="shared" si="225"/>
        <v>0</v>
      </c>
      <c r="S347" s="93">
        <f t="shared" si="225"/>
        <v>0</v>
      </c>
      <c r="T347" s="93">
        <f t="shared" si="225"/>
        <v>0</v>
      </c>
      <c r="U347" s="93">
        <f t="shared" si="225"/>
        <v>0</v>
      </c>
      <c r="V347" s="94">
        <f t="shared" si="225"/>
        <v>0</v>
      </c>
      <c r="W347" s="96">
        <f t="shared" si="225"/>
        <v>0</v>
      </c>
      <c r="X347" s="93">
        <f t="shared" si="225"/>
        <v>0</v>
      </c>
      <c r="Y347" s="93">
        <f t="shared" si="225"/>
        <v>0</v>
      </c>
      <c r="Z347" s="93">
        <f t="shared" si="225"/>
        <v>0</v>
      </c>
      <c r="AA347" s="93">
        <f t="shared" si="225"/>
        <v>0</v>
      </c>
      <c r="AB347" s="93">
        <f t="shared" si="225"/>
        <v>32</v>
      </c>
      <c r="AC347" s="94">
        <f t="shared" si="225"/>
        <v>32</v>
      </c>
      <c r="AD347" s="94">
        <f t="shared" si="225"/>
        <v>32</v>
      </c>
      <c r="AE347" s="93">
        <f t="shared" si="225"/>
        <v>32</v>
      </c>
      <c r="AF347" s="138">
        <f t="shared" si="225"/>
        <v>32</v>
      </c>
      <c r="AG347" s="93">
        <f t="shared" si="225"/>
        <v>0</v>
      </c>
      <c r="AH347" s="139">
        <f t="shared" si="225"/>
        <v>0</v>
      </c>
      <c r="AI347" s="139">
        <f t="shared" si="225"/>
        <v>0</v>
      </c>
      <c r="AJ347" s="154">
        <f t="shared" si="225"/>
        <v>0</v>
      </c>
    </row>
    <row r="348" ht="18" customHeight="1" outlineLevel="1" spans="2:36">
      <c r="B348" s="161"/>
      <c r="C348" s="91" t="s">
        <v>188</v>
      </c>
      <c r="D348" s="92"/>
      <c r="E348" s="92"/>
      <c r="F348" s="93"/>
      <c r="G348" s="93"/>
      <c r="H348" s="94"/>
      <c r="I348" s="94"/>
      <c r="J348" s="93">
        <v>4</v>
      </c>
      <c r="K348" s="93">
        <v>8</v>
      </c>
      <c r="L348" s="93"/>
      <c r="M348" s="93">
        <v>11</v>
      </c>
      <c r="N348" s="93">
        <v>8</v>
      </c>
      <c r="O348" s="94">
        <v>13</v>
      </c>
      <c r="P348" s="94">
        <v>13</v>
      </c>
      <c r="Q348" s="94">
        <v>13</v>
      </c>
      <c r="R348" s="93">
        <v>13</v>
      </c>
      <c r="S348" s="93">
        <v>13</v>
      </c>
      <c r="T348" s="93">
        <v>11.5</v>
      </c>
      <c r="U348" s="93">
        <v>2</v>
      </c>
      <c r="V348" s="94">
        <v>11.5</v>
      </c>
      <c r="W348" s="96"/>
      <c r="X348" s="93"/>
      <c r="Y348" s="128"/>
      <c r="Z348" s="93"/>
      <c r="AA348" s="93"/>
      <c r="AB348" s="93">
        <v>8</v>
      </c>
      <c r="AC348" s="94">
        <v>11.5</v>
      </c>
      <c r="AD348" s="94">
        <v>8</v>
      </c>
      <c r="AE348" s="93">
        <v>11.5</v>
      </c>
      <c r="AF348" s="93">
        <v>11.5</v>
      </c>
      <c r="AG348" s="93"/>
      <c r="AH348" s="139"/>
      <c r="AI348" s="139"/>
      <c r="AJ348" s="154"/>
    </row>
    <row r="349" ht="18" customHeight="1" outlineLevel="1" spans="2:36">
      <c r="B349" s="161"/>
      <c r="C349" s="91" t="s">
        <v>189</v>
      </c>
      <c r="D349" s="92"/>
      <c r="E349" s="92"/>
      <c r="F349" s="93">
        <v>660</v>
      </c>
      <c r="G349" s="93">
        <v>660</v>
      </c>
      <c r="H349" s="94">
        <v>660</v>
      </c>
      <c r="I349" s="94">
        <v>660</v>
      </c>
      <c r="J349" s="93">
        <v>660</v>
      </c>
      <c r="K349" s="93">
        <v>660</v>
      </c>
      <c r="L349" s="93">
        <v>660</v>
      </c>
      <c r="M349" s="93">
        <v>660</v>
      </c>
      <c r="N349" s="93">
        <v>660</v>
      </c>
      <c r="O349" s="94">
        <v>660</v>
      </c>
      <c r="P349" s="94">
        <v>660</v>
      </c>
      <c r="Q349" s="94">
        <v>660</v>
      </c>
      <c r="R349" s="93">
        <v>660</v>
      </c>
      <c r="S349" s="93">
        <v>660</v>
      </c>
      <c r="T349" s="93">
        <v>660</v>
      </c>
      <c r="U349" s="93">
        <v>660</v>
      </c>
      <c r="V349" s="94">
        <v>660</v>
      </c>
      <c r="W349" s="96">
        <v>660</v>
      </c>
      <c r="X349" s="93">
        <v>660</v>
      </c>
      <c r="Y349" s="128">
        <v>660</v>
      </c>
      <c r="Z349" s="93">
        <v>660</v>
      </c>
      <c r="AA349" s="93">
        <v>660</v>
      </c>
      <c r="AB349" s="93">
        <v>700</v>
      </c>
      <c r="AC349" s="94">
        <v>700</v>
      </c>
      <c r="AD349" s="94">
        <v>700</v>
      </c>
      <c r="AE349" s="93">
        <v>700</v>
      </c>
      <c r="AF349" s="138">
        <v>700</v>
      </c>
      <c r="AG349" s="93">
        <v>700</v>
      </c>
      <c r="AH349" s="139">
        <v>700</v>
      </c>
      <c r="AI349" s="139">
        <v>700</v>
      </c>
      <c r="AJ349" s="154">
        <v>700</v>
      </c>
    </row>
    <row r="350" ht="18" customHeight="1" outlineLevel="1" spans="2:36">
      <c r="B350" s="161"/>
      <c r="C350" s="91" t="s">
        <v>190</v>
      </c>
      <c r="D350" s="92">
        <v>0</v>
      </c>
      <c r="E350" s="92">
        <f>SUM(F350:AI350)</f>
        <v>32462.5</v>
      </c>
      <c r="F350" s="95">
        <f t="shared" ref="F350:I350" si="226">F345*F348*F349</f>
        <v>0</v>
      </c>
      <c r="G350" s="95">
        <f t="shared" si="226"/>
        <v>0</v>
      </c>
      <c r="H350" s="96">
        <f t="shared" si="226"/>
        <v>0</v>
      </c>
      <c r="I350" s="96">
        <f t="shared" si="226"/>
        <v>0</v>
      </c>
      <c r="J350" s="95">
        <f>J345*J348*J349*0.35</f>
        <v>0</v>
      </c>
      <c r="K350" s="95">
        <f>K345*K348*K349*0.65</f>
        <v>0</v>
      </c>
      <c r="L350" s="95">
        <f>L345*L348*L349</f>
        <v>0</v>
      </c>
      <c r="M350" s="95">
        <f>M345*M348*M349*0.55</f>
        <v>0</v>
      </c>
      <c r="N350" s="95">
        <v>0</v>
      </c>
      <c r="O350" s="96">
        <f>O345*O348*O349*0.75</f>
        <v>0</v>
      </c>
      <c r="P350" s="96">
        <f>P345*P348*P349*0.85</f>
        <v>0</v>
      </c>
      <c r="Q350" s="96">
        <f>Q345*Q348*Q349*0.95</f>
        <v>0</v>
      </c>
      <c r="R350" s="95">
        <f t="shared" ref="R350:V350" si="227">R345*R348*R349</f>
        <v>0</v>
      </c>
      <c r="S350" s="95">
        <f t="shared" si="227"/>
        <v>0</v>
      </c>
      <c r="T350" s="95">
        <f t="shared" si="227"/>
        <v>0</v>
      </c>
      <c r="U350" s="95">
        <f t="shared" si="227"/>
        <v>0</v>
      </c>
      <c r="V350" s="96">
        <f t="shared" si="227"/>
        <v>0</v>
      </c>
      <c r="W350" s="123">
        <f>W345*W348*W349*0.35</f>
        <v>0</v>
      </c>
      <c r="X350" s="128">
        <f>X345*X348*X349</f>
        <v>0</v>
      </c>
      <c r="Y350" s="128">
        <f>Y345*Y348*Y349*0.45</f>
        <v>0</v>
      </c>
      <c r="Z350" s="128">
        <f>Z345*Z348*Z349*0.55</f>
        <v>0</v>
      </c>
      <c r="AA350" s="128">
        <f>AA345*AA348*AA349*0.65</f>
        <v>0</v>
      </c>
      <c r="AB350" s="128">
        <f>AB345*AB348*AB349*0.75</f>
        <v>4200</v>
      </c>
      <c r="AC350" s="96">
        <f>AC345*AC348*AC349*0.85</f>
        <v>6842.5</v>
      </c>
      <c r="AD350" s="96">
        <f>AD345*AD348*AD349*0.95</f>
        <v>5320</v>
      </c>
      <c r="AE350" s="95">
        <f t="shared" ref="AE350:AJ350" si="228">AE345*AE348*AE349</f>
        <v>8050</v>
      </c>
      <c r="AF350" s="139">
        <f t="shared" si="228"/>
        <v>8050</v>
      </c>
      <c r="AG350" s="95">
        <f t="shared" si="228"/>
        <v>0</v>
      </c>
      <c r="AH350" s="139">
        <f t="shared" si="228"/>
        <v>0</v>
      </c>
      <c r="AI350" s="139">
        <f t="shared" si="228"/>
        <v>0</v>
      </c>
      <c r="AJ350" s="154">
        <f t="shared" si="228"/>
        <v>0</v>
      </c>
    </row>
    <row r="351" ht="18" customHeight="1" outlineLevel="1" spans="2:36">
      <c r="B351" s="161"/>
      <c r="C351" s="91" t="s">
        <v>191</v>
      </c>
      <c r="D351" s="92"/>
      <c r="E351" s="108">
        <f>SUM(F351:AJ351)</f>
        <v>28378</v>
      </c>
      <c r="F351" s="98"/>
      <c r="G351" s="99"/>
      <c r="H351" s="100"/>
      <c r="I351" s="100"/>
      <c r="J351" s="99"/>
      <c r="K351" s="99"/>
      <c r="L351" s="95"/>
      <c r="M351" s="95"/>
      <c r="N351" s="95"/>
      <c r="O351" s="115"/>
      <c r="P351" s="115"/>
      <c r="Q351" s="115"/>
      <c r="R351" s="95"/>
      <c r="S351" s="95"/>
      <c r="T351" s="95"/>
      <c r="U351" s="95"/>
      <c r="V351" s="96"/>
      <c r="W351" s="96"/>
      <c r="X351" s="95"/>
      <c r="Y351" s="128"/>
      <c r="Z351" s="95"/>
      <c r="AA351" s="95"/>
      <c r="AB351" s="95">
        <v>4100</v>
      </c>
      <c r="AC351" s="96">
        <v>6048</v>
      </c>
      <c r="AD351" s="96">
        <v>7000</v>
      </c>
      <c r="AE351" s="95">
        <v>5250</v>
      </c>
      <c r="AF351" s="139">
        <v>5980</v>
      </c>
      <c r="AG351" s="95"/>
      <c r="AH351" s="139"/>
      <c r="AI351" s="139"/>
      <c r="AJ351" s="154"/>
    </row>
    <row r="352" ht="18" customHeight="1" outlineLevel="1" spans="2:36">
      <c r="B352" s="161"/>
      <c r="C352" s="91" t="s">
        <v>192</v>
      </c>
      <c r="D352" s="92"/>
      <c r="E352" s="92"/>
      <c r="F352" s="95">
        <f t="shared" ref="F352:H352" si="229">F351-F350</f>
        <v>0</v>
      </c>
      <c r="G352" s="95">
        <f t="shared" si="229"/>
        <v>0</v>
      </c>
      <c r="H352" s="96">
        <f t="shared" si="229"/>
        <v>0</v>
      </c>
      <c r="I352" s="96"/>
      <c r="J352" s="95">
        <f t="shared" ref="J352:M352" si="230">J351-J350</f>
        <v>0</v>
      </c>
      <c r="K352" s="95">
        <f t="shared" si="230"/>
        <v>0</v>
      </c>
      <c r="L352" s="95">
        <f t="shared" si="230"/>
        <v>0</v>
      </c>
      <c r="M352" s="95">
        <f t="shared" si="230"/>
        <v>0</v>
      </c>
      <c r="N352" s="95">
        <v>0</v>
      </c>
      <c r="O352" s="96">
        <f t="shared" ref="O352:AJ352" si="231">O351-O350</f>
        <v>0</v>
      </c>
      <c r="P352" s="96">
        <f t="shared" si="231"/>
        <v>0</v>
      </c>
      <c r="Q352" s="96">
        <f t="shared" si="231"/>
        <v>0</v>
      </c>
      <c r="R352" s="95">
        <f t="shared" si="231"/>
        <v>0</v>
      </c>
      <c r="S352" s="95">
        <f t="shared" si="231"/>
        <v>0</v>
      </c>
      <c r="T352" s="95">
        <f t="shared" si="231"/>
        <v>0</v>
      </c>
      <c r="U352" s="95">
        <f t="shared" si="231"/>
        <v>0</v>
      </c>
      <c r="V352" s="96">
        <f t="shared" si="231"/>
        <v>0</v>
      </c>
      <c r="W352" s="123">
        <f t="shared" si="231"/>
        <v>0</v>
      </c>
      <c r="X352" s="128">
        <f t="shared" si="231"/>
        <v>0</v>
      </c>
      <c r="Y352" s="128">
        <f t="shared" si="231"/>
        <v>0</v>
      </c>
      <c r="Z352" s="128">
        <f t="shared" si="231"/>
        <v>0</v>
      </c>
      <c r="AA352" s="128">
        <f t="shared" si="231"/>
        <v>0</v>
      </c>
      <c r="AB352" s="128">
        <f t="shared" si="231"/>
        <v>-100</v>
      </c>
      <c r="AC352" s="96">
        <f t="shared" si="231"/>
        <v>-794.5</v>
      </c>
      <c r="AD352" s="96">
        <f t="shared" si="231"/>
        <v>1680</v>
      </c>
      <c r="AE352" s="95">
        <f t="shared" si="231"/>
        <v>-2800</v>
      </c>
      <c r="AF352" s="139">
        <f t="shared" si="231"/>
        <v>-2070</v>
      </c>
      <c r="AG352" s="95">
        <f t="shared" si="231"/>
        <v>0</v>
      </c>
      <c r="AH352" s="139">
        <f t="shared" si="231"/>
        <v>0</v>
      </c>
      <c r="AI352" s="139">
        <f t="shared" si="231"/>
        <v>0</v>
      </c>
      <c r="AJ352" s="154">
        <f t="shared" si="231"/>
        <v>0</v>
      </c>
    </row>
    <row r="353" ht="18" customHeight="1" outlineLevel="1" spans="2:36">
      <c r="B353" s="161"/>
      <c r="C353" s="91" t="s">
        <v>193</v>
      </c>
      <c r="D353" s="92"/>
      <c r="E353" s="92"/>
      <c r="F353" s="95">
        <f t="shared" ref="F353:H353" si="232">E353+F351</f>
        <v>0</v>
      </c>
      <c r="G353" s="95">
        <f t="shared" si="232"/>
        <v>0</v>
      </c>
      <c r="H353" s="96">
        <f t="shared" si="232"/>
        <v>0</v>
      </c>
      <c r="I353" s="96"/>
      <c r="J353" s="95">
        <f t="shared" ref="J353:M353" si="233">I353+J351</f>
        <v>0</v>
      </c>
      <c r="K353" s="95">
        <f t="shared" si="233"/>
        <v>0</v>
      </c>
      <c r="L353" s="95">
        <f t="shared" si="233"/>
        <v>0</v>
      </c>
      <c r="M353" s="95">
        <f t="shared" si="233"/>
        <v>0</v>
      </c>
      <c r="N353" s="95">
        <v>0</v>
      </c>
      <c r="O353" s="96">
        <f t="shared" ref="O353:AJ353" si="234">N353+O351</f>
        <v>0</v>
      </c>
      <c r="P353" s="96">
        <f t="shared" si="234"/>
        <v>0</v>
      </c>
      <c r="Q353" s="96">
        <f t="shared" si="234"/>
        <v>0</v>
      </c>
      <c r="R353" s="95">
        <f t="shared" si="234"/>
        <v>0</v>
      </c>
      <c r="S353" s="95">
        <f t="shared" si="234"/>
        <v>0</v>
      </c>
      <c r="T353" s="95">
        <f t="shared" si="234"/>
        <v>0</v>
      </c>
      <c r="U353" s="95">
        <f t="shared" si="234"/>
        <v>0</v>
      </c>
      <c r="V353" s="96">
        <f t="shared" si="234"/>
        <v>0</v>
      </c>
      <c r="W353" s="123">
        <f t="shared" si="234"/>
        <v>0</v>
      </c>
      <c r="X353" s="128">
        <f t="shared" si="234"/>
        <v>0</v>
      </c>
      <c r="Y353" s="128">
        <f t="shared" si="234"/>
        <v>0</v>
      </c>
      <c r="Z353" s="128">
        <f t="shared" si="234"/>
        <v>0</v>
      </c>
      <c r="AA353" s="128">
        <f t="shared" si="234"/>
        <v>0</v>
      </c>
      <c r="AB353" s="128">
        <f t="shared" si="234"/>
        <v>4100</v>
      </c>
      <c r="AC353" s="96">
        <f t="shared" si="234"/>
        <v>10148</v>
      </c>
      <c r="AD353" s="96">
        <f t="shared" si="234"/>
        <v>17148</v>
      </c>
      <c r="AE353" s="95">
        <f t="shared" si="234"/>
        <v>22398</v>
      </c>
      <c r="AF353" s="139">
        <f t="shared" si="234"/>
        <v>28378</v>
      </c>
      <c r="AG353" s="95">
        <f t="shared" si="234"/>
        <v>28378</v>
      </c>
      <c r="AH353" s="139">
        <f t="shared" si="234"/>
        <v>28378</v>
      </c>
      <c r="AI353" s="139">
        <f t="shared" si="234"/>
        <v>28378</v>
      </c>
      <c r="AJ353" s="154">
        <f t="shared" si="234"/>
        <v>28378</v>
      </c>
    </row>
    <row r="354" ht="18" customHeight="1" spans="2:36">
      <c r="B354" s="164"/>
      <c r="C354" s="102" t="s">
        <v>194</v>
      </c>
      <c r="D354" s="103"/>
      <c r="E354" s="103"/>
      <c r="F354" s="104" t="str">
        <f t="shared" ref="F354:M354" si="235">IF(F351&gt;0,F351/F350,"")</f>
        <v/>
      </c>
      <c r="G354" s="104" t="str">
        <f t="shared" si="235"/>
        <v/>
      </c>
      <c r="H354" s="105" t="str">
        <f t="shared" si="235"/>
        <v/>
      </c>
      <c r="I354" s="105" t="str">
        <f t="shared" si="235"/>
        <v/>
      </c>
      <c r="J354" s="104" t="str">
        <f t="shared" si="235"/>
        <v/>
      </c>
      <c r="K354" s="104" t="str">
        <f t="shared" si="235"/>
        <v/>
      </c>
      <c r="L354" s="104" t="str">
        <f t="shared" si="235"/>
        <v/>
      </c>
      <c r="M354" s="104" t="str">
        <f t="shared" si="235"/>
        <v/>
      </c>
      <c r="N354" s="104" t="s">
        <v>195</v>
      </c>
      <c r="O354" s="105" t="str">
        <f t="shared" ref="O354:AJ354" si="236">IF(O351&gt;0,O351/O350,"")</f>
        <v/>
      </c>
      <c r="P354" s="105" t="str">
        <f t="shared" si="236"/>
        <v/>
      </c>
      <c r="Q354" s="105" t="str">
        <f t="shared" si="236"/>
        <v/>
      </c>
      <c r="R354" s="104" t="str">
        <f t="shared" si="236"/>
        <v/>
      </c>
      <c r="S354" s="104" t="str">
        <f t="shared" si="236"/>
        <v/>
      </c>
      <c r="T354" s="104" t="str">
        <f t="shared" si="236"/>
        <v/>
      </c>
      <c r="U354" s="104" t="str">
        <f t="shared" si="236"/>
        <v/>
      </c>
      <c r="V354" s="105" t="str">
        <f t="shared" si="236"/>
        <v/>
      </c>
      <c r="W354" s="105" t="str">
        <f t="shared" si="236"/>
        <v/>
      </c>
      <c r="X354" s="104" t="str">
        <f t="shared" si="236"/>
        <v/>
      </c>
      <c r="Y354" s="188" t="str">
        <f t="shared" si="236"/>
        <v/>
      </c>
      <c r="Z354" s="142" t="str">
        <f t="shared" si="236"/>
        <v/>
      </c>
      <c r="AA354" s="104" t="str">
        <f t="shared" si="236"/>
        <v/>
      </c>
      <c r="AB354" s="104">
        <f t="shared" si="236"/>
        <v>0.976190476190476</v>
      </c>
      <c r="AC354" s="105">
        <f t="shared" si="236"/>
        <v>0.883887468030691</v>
      </c>
      <c r="AD354" s="105">
        <f t="shared" si="236"/>
        <v>1.31578947368421</v>
      </c>
      <c r="AE354" s="104">
        <f t="shared" si="236"/>
        <v>0.652173913043478</v>
      </c>
      <c r="AF354" s="141">
        <f t="shared" si="236"/>
        <v>0.742857142857143</v>
      </c>
      <c r="AG354" s="104" t="str">
        <f t="shared" si="236"/>
        <v/>
      </c>
      <c r="AH354" s="104" t="str">
        <f t="shared" si="236"/>
        <v/>
      </c>
      <c r="AI354" s="155" t="str">
        <f t="shared" si="236"/>
        <v/>
      </c>
      <c r="AJ354" s="156" t="str">
        <f t="shared" si="236"/>
        <v/>
      </c>
    </row>
    <row r="355" ht="18" customHeight="1" outlineLevel="1" spans="2:36">
      <c r="B355" s="160" t="s">
        <v>135</v>
      </c>
      <c r="C355" s="86" t="s">
        <v>185</v>
      </c>
      <c r="D355" s="87"/>
      <c r="E355" s="87"/>
      <c r="F355" s="88">
        <v>1</v>
      </c>
      <c r="G355" s="88">
        <v>1</v>
      </c>
      <c r="H355" s="89"/>
      <c r="I355" s="89"/>
      <c r="J355" s="88"/>
      <c r="K355" s="88"/>
      <c r="L355" s="88">
        <v>1</v>
      </c>
      <c r="M355" s="88">
        <v>1</v>
      </c>
      <c r="N355" s="88">
        <v>1</v>
      </c>
      <c r="O355" s="89">
        <v>0</v>
      </c>
      <c r="P355" s="89">
        <v>1</v>
      </c>
      <c r="Q355" s="89">
        <v>1</v>
      </c>
      <c r="R355" s="88">
        <v>1</v>
      </c>
      <c r="S355" s="88">
        <v>1</v>
      </c>
      <c r="T355" s="88">
        <v>1</v>
      </c>
      <c r="U355" s="88">
        <v>1</v>
      </c>
      <c r="V355" s="89">
        <v>1</v>
      </c>
      <c r="W355" s="122">
        <v>1</v>
      </c>
      <c r="X355" s="88"/>
      <c r="Y355" s="168">
        <v>1</v>
      </c>
      <c r="Z355" s="168">
        <v>2</v>
      </c>
      <c r="AA355" s="168">
        <v>2</v>
      </c>
      <c r="AB355" s="180">
        <v>2</v>
      </c>
      <c r="AC355" s="167">
        <v>2</v>
      </c>
      <c r="AD355" s="167">
        <v>2</v>
      </c>
      <c r="AE355" s="168">
        <v>2</v>
      </c>
      <c r="AF355" s="168">
        <v>2</v>
      </c>
      <c r="AG355" s="168">
        <v>2</v>
      </c>
      <c r="AH355" s="168">
        <v>2</v>
      </c>
      <c r="AI355" s="157">
        <v>2</v>
      </c>
      <c r="AJ355" s="158"/>
    </row>
    <row r="356" ht="18" customHeight="1" outlineLevel="1" spans="2:36">
      <c r="B356" s="161"/>
      <c r="C356" s="91" t="s">
        <v>186</v>
      </c>
      <c r="D356" s="92"/>
      <c r="E356" s="92"/>
      <c r="F356" s="93">
        <v>46</v>
      </c>
      <c r="G356" s="93">
        <v>46</v>
      </c>
      <c r="H356" s="94">
        <v>46</v>
      </c>
      <c r="I356" s="94">
        <v>46</v>
      </c>
      <c r="J356" s="93">
        <v>55</v>
      </c>
      <c r="K356" s="93">
        <v>55</v>
      </c>
      <c r="L356" s="93">
        <v>55</v>
      </c>
      <c r="M356" s="93">
        <v>55</v>
      </c>
      <c r="N356" s="93">
        <v>55</v>
      </c>
      <c r="O356" s="94">
        <v>46</v>
      </c>
      <c r="P356" s="94">
        <v>55</v>
      </c>
      <c r="Q356" s="94">
        <v>55</v>
      </c>
      <c r="R356" s="93">
        <v>55</v>
      </c>
      <c r="S356" s="93">
        <v>55</v>
      </c>
      <c r="T356" s="93">
        <v>55</v>
      </c>
      <c r="U356" s="93">
        <v>55</v>
      </c>
      <c r="V356" s="94">
        <v>55</v>
      </c>
      <c r="W356" s="96">
        <v>55</v>
      </c>
      <c r="X356" s="93">
        <v>55</v>
      </c>
      <c r="Y356" s="93">
        <v>55</v>
      </c>
      <c r="Z356" s="93">
        <v>55</v>
      </c>
      <c r="AA356" s="93">
        <v>55</v>
      </c>
      <c r="AB356" s="93">
        <v>55</v>
      </c>
      <c r="AC356" s="94">
        <v>55</v>
      </c>
      <c r="AD356" s="94">
        <v>55</v>
      </c>
      <c r="AE356" s="93">
        <v>55</v>
      </c>
      <c r="AF356" s="93">
        <v>55</v>
      </c>
      <c r="AG356" s="93">
        <v>55</v>
      </c>
      <c r="AH356" s="93">
        <v>55</v>
      </c>
      <c r="AI356" s="93">
        <v>55</v>
      </c>
      <c r="AJ356" s="154">
        <v>55</v>
      </c>
    </row>
    <row r="357" ht="18" customHeight="1" outlineLevel="1" spans="2:36">
      <c r="B357" s="161"/>
      <c r="C357" s="91" t="s">
        <v>187</v>
      </c>
      <c r="D357" s="92"/>
      <c r="E357" s="92"/>
      <c r="F357" s="93">
        <f t="shared" ref="F357:AJ357" si="237">F355*F356</f>
        <v>46</v>
      </c>
      <c r="G357" s="93">
        <f t="shared" si="237"/>
        <v>46</v>
      </c>
      <c r="H357" s="94">
        <f t="shared" si="237"/>
        <v>0</v>
      </c>
      <c r="I357" s="94">
        <f t="shared" si="237"/>
        <v>0</v>
      </c>
      <c r="J357" s="93">
        <f t="shared" si="237"/>
        <v>0</v>
      </c>
      <c r="K357" s="93">
        <f t="shared" si="237"/>
        <v>0</v>
      </c>
      <c r="L357" s="93">
        <f t="shared" si="237"/>
        <v>55</v>
      </c>
      <c r="M357" s="93">
        <f t="shared" si="237"/>
        <v>55</v>
      </c>
      <c r="N357" s="93">
        <v>46</v>
      </c>
      <c r="O357" s="94">
        <f t="shared" si="237"/>
        <v>0</v>
      </c>
      <c r="P357" s="94">
        <v>46</v>
      </c>
      <c r="Q357" s="94">
        <f t="shared" si="237"/>
        <v>55</v>
      </c>
      <c r="R357" s="93">
        <f t="shared" si="237"/>
        <v>55</v>
      </c>
      <c r="S357" s="93">
        <f t="shared" si="237"/>
        <v>55</v>
      </c>
      <c r="T357" s="93">
        <f t="shared" si="237"/>
        <v>55</v>
      </c>
      <c r="U357" s="93">
        <f t="shared" si="237"/>
        <v>55</v>
      </c>
      <c r="V357" s="94">
        <f t="shared" si="237"/>
        <v>55</v>
      </c>
      <c r="W357" s="96">
        <f t="shared" si="237"/>
        <v>55</v>
      </c>
      <c r="X357" s="93">
        <f t="shared" si="237"/>
        <v>0</v>
      </c>
      <c r="Y357" s="93">
        <f t="shared" si="237"/>
        <v>55</v>
      </c>
      <c r="Z357" s="93">
        <f t="shared" si="237"/>
        <v>110</v>
      </c>
      <c r="AA357" s="93">
        <f t="shared" si="237"/>
        <v>110</v>
      </c>
      <c r="AB357" s="93">
        <f t="shared" si="237"/>
        <v>110</v>
      </c>
      <c r="AC357" s="94">
        <f t="shared" si="237"/>
        <v>110</v>
      </c>
      <c r="AD357" s="94">
        <f t="shared" si="237"/>
        <v>110</v>
      </c>
      <c r="AE357" s="93">
        <f t="shared" si="237"/>
        <v>110</v>
      </c>
      <c r="AF357" s="93">
        <f t="shared" si="237"/>
        <v>110</v>
      </c>
      <c r="AG357" s="93">
        <f t="shared" si="237"/>
        <v>110</v>
      </c>
      <c r="AH357" s="93">
        <f t="shared" si="237"/>
        <v>110</v>
      </c>
      <c r="AI357" s="139">
        <f t="shared" si="237"/>
        <v>110</v>
      </c>
      <c r="AJ357" s="154">
        <f t="shared" si="237"/>
        <v>0</v>
      </c>
    </row>
    <row r="358" ht="18" customHeight="1" outlineLevel="1" spans="2:36">
      <c r="B358" s="161"/>
      <c r="C358" s="91" t="s">
        <v>188</v>
      </c>
      <c r="D358" s="92"/>
      <c r="E358" s="92"/>
      <c r="F358" s="93">
        <v>11.5</v>
      </c>
      <c r="G358" s="93">
        <v>1</v>
      </c>
      <c r="H358" s="94">
        <v>11.5</v>
      </c>
      <c r="I358" s="94">
        <v>8</v>
      </c>
      <c r="J358" s="93">
        <v>11.5</v>
      </c>
      <c r="K358" s="93">
        <v>11.5</v>
      </c>
      <c r="L358" s="93">
        <v>8</v>
      </c>
      <c r="M358" s="93">
        <v>11.5</v>
      </c>
      <c r="N358" s="93">
        <v>11.5</v>
      </c>
      <c r="O358" s="94">
        <v>11.5</v>
      </c>
      <c r="P358" s="94">
        <v>8</v>
      </c>
      <c r="Q358" s="94">
        <v>8</v>
      </c>
      <c r="R358" s="93">
        <v>11.5</v>
      </c>
      <c r="S358" s="93">
        <v>11.5</v>
      </c>
      <c r="T358" s="93">
        <v>11.5</v>
      </c>
      <c r="U358" s="93">
        <v>11.5</v>
      </c>
      <c r="V358" s="94">
        <v>11.5</v>
      </c>
      <c r="W358" s="96">
        <v>8</v>
      </c>
      <c r="X358" s="93">
        <v>11.5</v>
      </c>
      <c r="Y358" s="93">
        <v>11.5</v>
      </c>
      <c r="Z358" s="93">
        <v>11.5</v>
      </c>
      <c r="AA358" s="93">
        <v>11.5</v>
      </c>
      <c r="AB358" s="93">
        <v>11.5</v>
      </c>
      <c r="AC358" s="94">
        <v>11.5</v>
      </c>
      <c r="AD358" s="94">
        <v>12</v>
      </c>
      <c r="AE358" s="93">
        <v>11.5</v>
      </c>
      <c r="AF358" s="93">
        <v>11.5</v>
      </c>
      <c r="AG358" s="93">
        <v>11.5</v>
      </c>
      <c r="AH358" s="93">
        <v>11.5</v>
      </c>
      <c r="AI358" s="139">
        <v>11.5</v>
      </c>
      <c r="AJ358" s="154">
        <v>12</v>
      </c>
    </row>
    <row r="359" ht="18" customHeight="1" outlineLevel="1" spans="2:36">
      <c r="B359" s="161"/>
      <c r="C359" s="91" t="s">
        <v>189</v>
      </c>
      <c r="D359" s="92"/>
      <c r="E359" s="92"/>
      <c r="F359" s="93">
        <v>680</v>
      </c>
      <c r="G359" s="93">
        <v>680</v>
      </c>
      <c r="H359" s="94">
        <v>680</v>
      </c>
      <c r="I359" s="94">
        <v>680</v>
      </c>
      <c r="J359" s="93">
        <v>680</v>
      </c>
      <c r="K359" s="93">
        <v>680</v>
      </c>
      <c r="L359" s="93">
        <v>680</v>
      </c>
      <c r="M359" s="93">
        <v>680</v>
      </c>
      <c r="N359" s="93">
        <v>680</v>
      </c>
      <c r="O359" s="94">
        <v>680</v>
      </c>
      <c r="P359" s="94">
        <v>680</v>
      </c>
      <c r="Q359" s="94">
        <v>680</v>
      </c>
      <c r="R359" s="93">
        <v>680</v>
      </c>
      <c r="S359" s="93">
        <v>680</v>
      </c>
      <c r="T359" s="93">
        <v>680</v>
      </c>
      <c r="U359" s="93">
        <v>680</v>
      </c>
      <c r="V359" s="94">
        <v>680</v>
      </c>
      <c r="W359" s="96">
        <v>680</v>
      </c>
      <c r="X359" s="93">
        <v>680</v>
      </c>
      <c r="Y359" s="93">
        <v>680</v>
      </c>
      <c r="Z359" s="93">
        <v>680</v>
      </c>
      <c r="AA359" s="93">
        <v>680</v>
      </c>
      <c r="AB359" s="93">
        <v>680</v>
      </c>
      <c r="AC359" s="94">
        <v>680</v>
      </c>
      <c r="AD359" s="94">
        <v>680</v>
      </c>
      <c r="AE359" s="93">
        <v>680</v>
      </c>
      <c r="AF359" s="93">
        <v>680</v>
      </c>
      <c r="AG359" s="93">
        <v>680</v>
      </c>
      <c r="AH359" s="93">
        <v>680</v>
      </c>
      <c r="AI359" s="139">
        <v>680</v>
      </c>
      <c r="AJ359" s="154">
        <v>680</v>
      </c>
    </row>
    <row r="360" ht="18" customHeight="1" outlineLevel="1" spans="2:36">
      <c r="B360" s="161"/>
      <c r="C360" s="91" t="s">
        <v>190</v>
      </c>
      <c r="D360" s="92">
        <v>250000</v>
      </c>
      <c r="E360" s="92">
        <f>SUM(F360:AI360)</f>
        <v>226933</v>
      </c>
      <c r="F360" s="95">
        <f t="shared" ref="F360:K360" si="238">F355*F358*F359</f>
        <v>7820</v>
      </c>
      <c r="G360" s="95">
        <f t="shared" si="238"/>
        <v>680</v>
      </c>
      <c r="H360" s="96">
        <f t="shared" si="238"/>
        <v>0</v>
      </c>
      <c r="I360" s="96">
        <f t="shared" si="238"/>
        <v>0</v>
      </c>
      <c r="J360" s="95">
        <f t="shared" si="238"/>
        <v>0</v>
      </c>
      <c r="K360" s="95">
        <f t="shared" si="238"/>
        <v>0</v>
      </c>
      <c r="L360" s="95">
        <f>L355*L358*L359*0.75</f>
        <v>4080</v>
      </c>
      <c r="M360" s="95">
        <f>M355*M358*M359*0.85</f>
        <v>6647</v>
      </c>
      <c r="N360" s="95">
        <f>N355*N358*N359*0.85</f>
        <v>6647</v>
      </c>
      <c r="O360" s="96">
        <f>O355*O358*O359</f>
        <v>0</v>
      </c>
      <c r="P360" s="96">
        <f>P355*P358*P359*0.95</f>
        <v>5168</v>
      </c>
      <c r="Q360" s="96">
        <f t="shared" ref="Q360:T360" si="239">Q355*Q358*Q359</f>
        <v>5440</v>
      </c>
      <c r="R360" s="95">
        <f t="shared" si="239"/>
        <v>7820</v>
      </c>
      <c r="S360" s="95">
        <f t="shared" si="239"/>
        <v>7820</v>
      </c>
      <c r="T360" s="95">
        <f t="shared" si="239"/>
        <v>7820</v>
      </c>
      <c r="U360" s="95">
        <f>U355*U358*U359*0.725</f>
        <v>5669.5</v>
      </c>
      <c r="V360" s="96">
        <f>V355*V358*V359*0.775</f>
        <v>6060.5</v>
      </c>
      <c r="W360" s="96">
        <f>W355*W358*W359*0.825</f>
        <v>4488</v>
      </c>
      <c r="X360" s="95">
        <f>X355*X358*X359*0.875</f>
        <v>0</v>
      </c>
      <c r="Y360" s="129">
        <f>Y355*Y358*Y359</f>
        <v>7820</v>
      </c>
      <c r="Z360" s="129">
        <f>Z355*Z358*Z359*0.725</f>
        <v>11339</v>
      </c>
      <c r="AA360" s="129">
        <f>AA355*AA358*AA359*0.775</f>
        <v>12121</v>
      </c>
      <c r="AB360" s="146">
        <f>AB355*AB358*AB359*0.825</f>
        <v>12903</v>
      </c>
      <c r="AC360" s="130">
        <f>AC355*AC358*AC359*0.875</f>
        <v>13685</v>
      </c>
      <c r="AD360" s="130">
        <f>AD355*AD358*AD359*0.925</f>
        <v>15096</v>
      </c>
      <c r="AE360" s="129">
        <f>AE355*AE358*AE359*0.975</f>
        <v>15249</v>
      </c>
      <c r="AF360" s="129">
        <f t="shared" ref="AF360:AJ360" si="240">AF355*AF358*AF359</f>
        <v>15640</v>
      </c>
      <c r="AG360" s="129">
        <f t="shared" si="240"/>
        <v>15640</v>
      </c>
      <c r="AH360" s="129">
        <f t="shared" si="240"/>
        <v>15640</v>
      </c>
      <c r="AI360" s="139">
        <f t="shared" si="240"/>
        <v>15640</v>
      </c>
      <c r="AJ360" s="154">
        <f t="shared" si="240"/>
        <v>0</v>
      </c>
    </row>
    <row r="361" ht="18" customHeight="1" outlineLevel="1" spans="2:36">
      <c r="B361" s="161"/>
      <c r="C361" s="91" t="s">
        <v>191</v>
      </c>
      <c r="D361" s="92"/>
      <c r="E361" s="108">
        <f>SUM(F361:AJ361)</f>
        <v>169584</v>
      </c>
      <c r="F361" s="99">
        <v>7039</v>
      </c>
      <c r="G361" s="99">
        <v>779</v>
      </c>
      <c r="H361" s="100"/>
      <c r="I361" s="100"/>
      <c r="J361" s="99"/>
      <c r="K361" s="99"/>
      <c r="L361" s="95">
        <v>1250</v>
      </c>
      <c r="M361" s="95">
        <v>6936</v>
      </c>
      <c r="N361" s="95">
        <v>6068</v>
      </c>
      <c r="O361" s="115"/>
      <c r="P361" s="115">
        <v>5200</v>
      </c>
      <c r="Q361" s="115">
        <v>5440</v>
      </c>
      <c r="R361" s="95">
        <v>6150</v>
      </c>
      <c r="S361" s="95">
        <v>4400</v>
      </c>
      <c r="T361" s="95">
        <v>6800</v>
      </c>
      <c r="U361" s="95">
        <v>6786</v>
      </c>
      <c r="V361" s="96">
        <v>6500</v>
      </c>
      <c r="W361" s="96">
        <v>5339</v>
      </c>
      <c r="X361" s="95"/>
      <c r="Y361" s="128">
        <v>7500</v>
      </c>
      <c r="Z361" s="95">
        <v>9060</v>
      </c>
      <c r="AA361" s="95">
        <v>12811</v>
      </c>
      <c r="AB361" s="95">
        <v>8926</v>
      </c>
      <c r="AC361" s="96">
        <v>14398</v>
      </c>
      <c r="AD361" s="96">
        <v>14042</v>
      </c>
      <c r="AE361" s="95">
        <v>10784</v>
      </c>
      <c r="AF361" s="139">
        <v>7520</v>
      </c>
      <c r="AG361" s="95">
        <v>5440</v>
      </c>
      <c r="AH361" s="139">
        <v>7000</v>
      </c>
      <c r="AI361" s="139">
        <v>3416</v>
      </c>
      <c r="AJ361" s="154"/>
    </row>
    <row r="362" ht="18" customHeight="1" outlineLevel="1" spans="2:36">
      <c r="B362" s="161"/>
      <c r="C362" s="91" t="s">
        <v>192</v>
      </c>
      <c r="D362" s="92"/>
      <c r="E362" s="92"/>
      <c r="F362" s="95">
        <f t="shared" ref="F362:AJ362" si="241">F361-F360</f>
        <v>-781</v>
      </c>
      <c r="G362" s="95">
        <f t="shared" si="241"/>
        <v>99</v>
      </c>
      <c r="H362" s="96">
        <f t="shared" si="241"/>
        <v>0</v>
      </c>
      <c r="I362" s="96">
        <f t="shared" si="241"/>
        <v>0</v>
      </c>
      <c r="J362" s="95">
        <f t="shared" si="241"/>
        <v>0</v>
      </c>
      <c r="K362" s="95">
        <f t="shared" si="241"/>
        <v>0</v>
      </c>
      <c r="L362" s="95">
        <f t="shared" si="241"/>
        <v>-2830</v>
      </c>
      <c r="M362" s="95">
        <f t="shared" si="241"/>
        <v>289</v>
      </c>
      <c r="N362" s="95">
        <v>-579</v>
      </c>
      <c r="O362" s="96">
        <f t="shared" si="241"/>
        <v>0</v>
      </c>
      <c r="P362" s="96">
        <f t="shared" si="241"/>
        <v>32</v>
      </c>
      <c r="Q362" s="96">
        <f t="shared" si="241"/>
        <v>0</v>
      </c>
      <c r="R362" s="95">
        <f t="shared" si="241"/>
        <v>-1670</v>
      </c>
      <c r="S362" s="95">
        <f t="shared" si="241"/>
        <v>-3420</v>
      </c>
      <c r="T362" s="95">
        <f t="shared" si="241"/>
        <v>-1020</v>
      </c>
      <c r="U362" s="95">
        <f t="shared" si="241"/>
        <v>1116.5</v>
      </c>
      <c r="V362" s="96">
        <f t="shared" si="241"/>
        <v>439.5</v>
      </c>
      <c r="W362" s="123">
        <f t="shared" si="241"/>
        <v>851</v>
      </c>
      <c r="X362" s="128">
        <f t="shared" si="241"/>
        <v>0</v>
      </c>
      <c r="Y362" s="128">
        <f t="shared" si="241"/>
        <v>-320</v>
      </c>
      <c r="Z362" s="128">
        <f t="shared" si="241"/>
        <v>-2279</v>
      </c>
      <c r="AA362" s="128">
        <f t="shared" si="241"/>
        <v>690</v>
      </c>
      <c r="AB362" s="128">
        <f t="shared" si="241"/>
        <v>-3977</v>
      </c>
      <c r="AC362" s="96">
        <f t="shared" si="241"/>
        <v>713</v>
      </c>
      <c r="AD362" s="96">
        <f t="shared" si="241"/>
        <v>-1054</v>
      </c>
      <c r="AE362" s="95">
        <f t="shared" si="241"/>
        <v>-4465</v>
      </c>
      <c r="AF362" s="139">
        <f t="shared" si="241"/>
        <v>-8120</v>
      </c>
      <c r="AG362" s="95">
        <f t="shared" si="241"/>
        <v>-10200</v>
      </c>
      <c r="AH362" s="139">
        <f t="shared" si="241"/>
        <v>-8640</v>
      </c>
      <c r="AI362" s="139">
        <f t="shared" si="241"/>
        <v>-12224</v>
      </c>
      <c r="AJ362" s="154">
        <f t="shared" si="241"/>
        <v>0</v>
      </c>
    </row>
    <row r="363" ht="18" customHeight="1" outlineLevel="1" spans="2:36">
      <c r="B363" s="161"/>
      <c r="C363" s="91" t="s">
        <v>193</v>
      </c>
      <c r="D363" s="92"/>
      <c r="E363" s="92"/>
      <c r="F363" s="95">
        <f t="shared" ref="F363:AJ363" si="242">E363+F361</f>
        <v>7039</v>
      </c>
      <c r="G363" s="95">
        <f t="shared" si="242"/>
        <v>7818</v>
      </c>
      <c r="H363" s="96">
        <f t="shared" si="242"/>
        <v>7818</v>
      </c>
      <c r="I363" s="96">
        <f t="shared" si="242"/>
        <v>7818</v>
      </c>
      <c r="J363" s="95">
        <f t="shared" si="242"/>
        <v>7818</v>
      </c>
      <c r="K363" s="95">
        <f t="shared" si="242"/>
        <v>7818</v>
      </c>
      <c r="L363" s="95">
        <f t="shared" si="242"/>
        <v>9068</v>
      </c>
      <c r="M363" s="95">
        <f t="shared" si="242"/>
        <v>16004</v>
      </c>
      <c r="N363" s="95">
        <v>22072</v>
      </c>
      <c r="O363" s="96">
        <f t="shared" si="242"/>
        <v>22072</v>
      </c>
      <c r="P363" s="96">
        <f t="shared" si="242"/>
        <v>27272</v>
      </c>
      <c r="Q363" s="96">
        <f t="shared" si="242"/>
        <v>32712</v>
      </c>
      <c r="R363" s="95">
        <f t="shared" si="242"/>
        <v>38862</v>
      </c>
      <c r="S363" s="95">
        <f t="shared" si="242"/>
        <v>43262</v>
      </c>
      <c r="T363" s="95">
        <f t="shared" si="242"/>
        <v>50062</v>
      </c>
      <c r="U363" s="95">
        <f t="shared" si="242"/>
        <v>56848</v>
      </c>
      <c r="V363" s="96">
        <f t="shared" si="242"/>
        <v>63348</v>
      </c>
      <c r="W363" s="123">
        <f t="shared" si="242"/>
        <v>68687</v>
      </c>
      <c r="X363" s="128">
        <f t="shared" si="242"/>
        <v>68687</v>
      </c>
      <c r="Y363" s="128">
        <f t="shared" si="242"/>
        <v>76187</v>
      </c>
      <c r="Z363" s="128">
        <f t="shared" si="242"/>
        <v>85247</v>
      </c>
      <c r="AA363" s="128">
        <f t="shared" si="242"/>
        <v>98058</v>
      </c>
      <c r="AB363" s="128">
        <f t="shared" si="242"/>
        <v>106984</v>
      </c>
      <c r="AC363" s="96">
        <f t="shared" si="242"/>
        <v>121382</v>
      </c>
      <c r="AD363" s="96">
        <f t="shared" si="242"/>
        <v>135424</v>
      </c>
      <c r="AE363" s="95">
        <f t="shared" si="242"/>
        <v>146208</v>
      </c>
      <c r="AF363" s="139">
        <f t="shared" si="242"/>
        <v>153728</v>
      </c>
      <c r="AG363" s="95">
        <f t="shared" si="242"/>
        <v>159168</v>
      </c>
      <c r="AH363" s="139">
        <f t="shared" si="242"/>
        <v>166168</v>
      </c>
      <c r="AI363" s="139">
        <f t="shared" si="242"/>
        <v>169584</v>
      </c>
      <c r="AJ363" s="154">
        <f t="shared" si="242"/>
        <v>169584</v>
      </c>
    </row>
    <row r="364" ht="18" customHeight="1" spans="2:36">
      <c r="B364" s="164"/>
      <c r="C364" s="102" t="s">
        <v>194</v>
      </c>
      <c r="D364" s="103"/>
      <c r="E364" s="103"/>
      <c r="F364" s="104">
        <f t="shared" ref="F364:AJ364" si="243">IF(F361&gt;0,F361/F360,"")</f>
        <v>0.900127877237852</v>
      </c>
      <c r="G364" s="104">
        <f t="shared" si="243"/>
        <v>1.14558823529412</v>
      </c>
      <c r="H364" s="105" t="str">
        <f t="shared" si="243"/>
        <v/>
      </c>
      <c r="I364" s="105" t="str">
        <f t="shared" si="243"/>
        <v/>
      </c>
      <c r="J364" s="104" t="str">
        <f t="shared" si="243"/>
        <v/>
      </c>
      <c r="K364" s="104" t="str">
        <f t="shared" si="243"/>
        <v/>
      </c>
      <c r="L364" s="104">
        <f t="shared" si="243"/>
        <v>0.306372549019608</v>
      </c>
      <c r="M364" s="104">
        <f t="shared" si="243"/>
        <v>1.04347826086957</v>
      </c>
      <c r="N364" s="104">
        <f t="shared" si="243"/>
        <v>0.912893034451632</v>
      </c>
      <c r="O364" s="105" t="str">
        <f t="shared" si="243"/>
        <v/>
      </c>
      <c r="P364" s="105">
        <f t="shared" si="243"/>
        <v>1.0061919504644</v>
      </c>
      <c r="Q364" s="105">
        <f t="shared" si="243"/>
        <v>1</v>
      </c>
      <c r="R364" s="104">
        <f t="shared" si="243"/>
        <v>0.786445012787724</v>
      </c>
      <c r="S364" s="104">
        <f t="shared" si="243"/>
        <v>0.562659846547315</v>
      </c>
      <c r="T364" s="104">
        <f t="shared" si="243"/>
        <v>0.869565217391304</v>
      </c>
      <c r="U364" s="104">
        <f t="shared" si="243"/>
        <v>1.19693094629156</v>
      </c>
      <c r="V364" s="105">
        <f t="shared" si="243"/>
        <v>1.07251876907846</v>
      </c>
      <c r="W364" s="105">
        <f t="shared" si="243"/>
        <v>1.18961675579323</v>
      </c>
      <c r="X364" s="192" t="e">
        <f t="shared" ref="X364:AD364" si="244">+X361/X360</f>
        <v>#DIV/0!</v>
      </c>
      <c r="Y364" s="192">
        <f t="shared" si="244"/>
        <v>0.959079283887468</v>
      </c>
      <c r="Z364" s="192">
        <f t="shared" si="244"/>
        <v>0.799012258576594</v>
      </c>
      <c r="AA364" s="192">
        <f t="shared" si="244"/>
        <v>1.05692599620493</v>
      </c>
      <c r="AB364" s="192">
        <f t="shared" si="244"/>
        <v>0.691777106099357</v>
      </c>
      <c r="AC364" s="193">
        <f t="shared" si="244"/>
        <v>1.05210084033613</v>
      </c>
      <c r="AD364" s="193">
        <f t="shared" si="244"/>
        <v>0.93018018018018</v>
      </c>
      <c r="AE364" s="104">
        <f t="shared" ref="AE364:AI364" si="245">IF(AE361&gt;0,AE361/AE360,"")</f>
        <v>0.70719391435504</v>
      </c>
      <c r="AF364" s="104">
        <f t="shared" si="245"/>
        <v>0.480818414322251</v>
      </c>
      <c r="AG364" s="104">
        <f t="shared" si="245"/>
        <v>0.347826086956522</v>
      </c>
      <c r="AH364" s="104">
        <f t="shared" si="245"/>
        <v>0.447570332480818</v>
      </c>
      <c r="AI364" s="104">
        <f t="shared" si="245"/>
        <v>0.218414322250639</v>
      </c>
      <c r="AJ364" s="195" t="str">
        <f t="shared" si="243"/>
        <v/>
      </c>
    </row>
    <row r="365" ht="18" customHeight="1" outlineLevel="1" spans="2:36">
      <c r="B365" s="160" t="s">
        <v>136</v>
      </c>
      <c r="C365" s="86" t="s">
        <v>185</v>
      </c>
      <c r="D365" s="87"/>
      <c r="E365" s="87"/>
      <c r="F365" s="88"/>
      <c r="G365" s="88"/>
      <c r="H365" s="89"/>
      <c r="I365" s="89"/>
      <c r="J365" s="88"/>
      <c r="K365" s="88"/>
      <c r="L365" s="88"/>
      <c r="M365" s="88"/>
      <c r="N365" s="88"/>
      <c r="O365" s="89"/>
      <c r="P365" s="89"/>
      <c r="Q365" s="89"/>
      <c r="R365" s="88"/>
      <c r="S365" s="88"/>
      <c r="T365" s="88"/>
      <c r="U365" s="88"/>
      <c r="V365" s="89"/>
      <c r="W365" s="122"/>
      <c r="X365" s="88">
        <v>1</v>
      </c>
      <c r="Y365" s="88">
        <v>1</v>
      </c>
      <c r="Z365" s="88">
        <v>1</v>
      </c>
      <c r="AA365" s="88">
        <v>1</v>
      </c>
      <c r="AB365" s="127">
        <v>1</v>
      </c>
      <c r="AC365" s="89"/>
      <c r="AD365" s="89">
        <v>1</v>
      </c>
      <c r="AE365" s="88">
        <v>1</v>
      </c>
      <c r="AF365" s="88">
        <v>1</v>
      </c>
      <c r="AG365" s="88">
        <v>1</v>
      </c>
      <c r="AH365" s="88">
        <v>1</v>
      </c>
      <c r="AI365" s="157">
        <v>1</v>
      </c>
      <c r="AJ365" s="158"/>
    </row>
    <row r="366" ht="18" customHeight="1" outlineLevel="1" spans="2:36">
      <c r="B366" s="161"/>
      <c r="C366" s="91" t="s">
        <v>186</v>
      </c>
      <c r="D366" s="92"/>
      <c r="E366" s="92"/>
      <c r="F366" s="93">
        <v>40</v>
      </c>
      <c r="G366" s="93">
        <v>40</v>
      </c>
      <c r="H366" s="94">
        <v>40</v>
      </c>
      <c r="I366" s="94">
        <v>40</v>
      </c>
      <c r="J366" s="93">
        <v>40</v>
      </c>
      <c r="K366" s="93">
        <v>40</v>
      </c>
      <c r="L366" s="93">
        <v>40</v>
      </c>
      <c r="M366" s="93">
        <v>40</v>
      </c>
      <c r="N366" s="93">
        <v>40</v>
      </c>
      <c r="O366" s="94">
        <v>40</v>
      </c>
      <c r="P366" s="94">
        <v>40</v>
      </c>
      <c r="Q366" s="94">
        <v>40</v>
      </c>
      <c r="R366" s="93">
        <v>40</v>
      </c>
      <c r="S366" s="93">
        <v>40</v>
      </c>
      <c r="T366" s="93">
        <v>40</v>
      </c>
      <c r="U366" s="93">
        <v>40</v>
      </c>
      <c r="V366" s="94">
        <v>40</v>
      </c>
      <c r="W366" s="96">
        <v>40</v>
      </c>
      <c r="X366" s="93">
        <v>40</v>
      </c>
      <c r="Y366" s="93">
        <v>40</v>
      </c>
      <c r="Z366" s="93">
        <v>40</v>
      </c>
      <c r="AA366" s="93">
        <v>40</v>
      </c>
      <c r="AB366" s="128">
        <v>40</v>
      </c>
      <c r="AC366" s="94">
        <v>40</v>
      </c>
      <c r="AD366" s="94">
        <v>40</v>
      </c>
      <c r="AE366" s="93">
        <v>40</v>
      </c>
      <c r="AF366" s="93">
        <v>40</v>
      </c>
      <c r="AG366" s="93">
        <v>40</v>
      </c>
      <c r="AH366" s="93">
        <v>40</v>
      </c>
      <c r="AI366" s="93">
        <v>40</v>
      </c>
      <c r="AJ366" s="94">
        <v>40</v>
      </c>
    </row>
    <row r="367" ht="18" customHeight="1" outlineLevel="1" spans="2:36">
      <c r="B367" s="161"/>
      <c r="C367" s="91" t="s">
        <v>187</v>
      </c>
      <c r="D367" s="92"/>
      <c r="E367" s="92"/>
      <c r="F367" s="93">
        <f t="shared" ref="F367:AJ367" si="246">F365*F366</f>
        <v>0</v>
      </c>
      <c r="G367" s="93">
        <f t="shared" si="246"/>
        <v>0</v>
      </c>
      <c r="H367" s="94">
        <f t="shared" si="246"/>
        <v>0</v>
      </c>
      <c r="I367" s="94">
        <f t="shared" si="246"/>
        <v>0</v>
      </c>
      <c r="J367" s="93">
        <f t="shared" si="246"/>
        <v>0</v>
      </c>
      <c r="K367" s="93">
        <f t="shared" si="246"/>
        <v>0</v>
      </c>
      <c r="L367" s="93">
        <f t="shared" si="246"/>
        <v>0</v>
      </c>
      <c r="M367" s="93">
        <f t="shared" si="246"/>
        <v>0</v>
      </c>
      <c r="N367" s="93">
        <v>0</v>
      </c>
      <c r="O367" s="94">
        <f t="shared" si="246"/>
        <v>0</v>
      </c>
      <c r="P367" s="94">
        <f t="shared" si="246"/>
        <v>0</v>
      </c>
      <c r="Q367" s="94">
        <f t="shared" si="246"/>
        <v>0</v>
      </c>
      <c r="R367" s="93">
        <f t="shared" si="246"/>
        <v>0</v>
      </c>
      <c r="S367" s="93">
        <f t="shared" si="246"/>
        <v>0</v>
      </c>
      <c r="T367" s="93">
        <f t="shared" si="246"/>
        <v>0</v>
      </c>
      <c r="U367" s="93">
        <f t="shared" si="246"/>
        <v>0</v>
      </c>
      <c r="V367" s="94">
        <f t="shared" si="246"/>
        <v>0</v>
      </c>
      <c r="W367" s="96">
        <f t="shared" si="246"/>
        <v>0</v>
      </c>
      <c r="X367" s="93">
        <f t="shared" si="246"/>
        <v>40</v>
      </c>
      <c r="Y367" s="93">
        <f t="shared" si="246"/>
        <v>40</v>
      </c>
      <c r="Z367" s="93">
        <f t="shared" si="246"/>
        <v>40</v>
      </c>
      <c r="AA367" s="93">
        <f t="shared" si="246"/>
        <v>40</v>
      </c>
      <c r="AB367" s="93">
        <f t="shared" si="246"/>
        <v>40</v>
      </c>
      <c r="AC367" s="94">
        <f t="shared" si="246"/>
        <v>0</v>
      </c>
      <c r="AD367" s="94">
        <f t="shared" si="246"/>
        <v>40</v>
      </c>
      <c r="AE367" s="93">
        <f t="shared" si="246"/>
        <v>40</v>
      </c>
      <c r="AF367" s="93">
        <f t="shared" si="246"/>
        <v>40</v>
      </c>
      <c r="AG367" s="93">
        <f t="shared" si="246"/>
        <v>40</v>
      </c>
      <c r="AH367" s="93">
        <f t="shared" si="246"/>
        <v>40</v>
      </c>
      <c r="AI367" s="139">
        <f t="shared" si="246"/>
        <v>40</v>
      </c>
      <c r="AJ367" s="154">
        <f t="shared" si="246"/>
        <v>0</v>
      </c>
    </row>
    <row r="368" ht="18" customHeight="1" outlineLevel="1" spans="2:36">
      <c r="B368" s="161"/>
      <c r="C368" s="91" t="s">
        <v>188</v>
      </c>
      <c r="D368" s="92"/>
      <c r="E368" s="92"/>
      <c r="F368" s="93"/>
      <c r="G368" s="93"/>
      <c r="H368" s="94"/>
      <c r="I368" s="94">
        <v>2</v>
      </c>
      <c r="J368" s="93">
        <v>1</v>
      </c>
      <c r="K368" s="93">
        <v>8</v>
      </c>
      <c r="L368" s="93"/>
      <c r="M368" s="93"/>
      <c r="N368" s="93"/>
      <c r="O368" s="94">
        <v>11.5</v>
      </c>
      <c r="P368" s="94"/>
      <c r="Q368" s="94">
        <v>8</v>
      </c>
      <c r="R368" s="93">
        <v>11.5</v>
      </c>
      <c r="S368" s="93">
        <v>11.5</v>
      </c>
      <c r="T368" s="93">
        <v>11.5</v>
      </c>
      <c r="U368" s="93">
        <v>11.5</v>
      </c>
      <c r="V368" s="94">
        <v>11.5</v>
      </c>
      <c r="W368" s="96">
        <v>8</v>
      </c>
      <c r="X368" s="93">
        <v>11.5</v>
      </c>
      <c r="Y368" s="93">
        <v>8</v>
      </c>
      <c r="Z368" s="93">
        <v>8</v>
      </c>
      <c r="AA368" s="93">
        <v>8</v>
      </c>
      <c r="AB368" s="93">
        <v>2</v>
      </c>
      <c r="AC368" s="94">
        <v>11.5</v>
      </c>
      <c r="AD368" s="94">
        <v>8</v>
      </c>
      <c r="AE368" s="93">
        <v>12</v>
      </c>
      <c r="AF368" s="93">
        <v>12</v>
      </c>
      <c r="AG368" s="93">
        <v>12</v>
      </c>
      <c r="AH368" s="93">
        <v>12</v>
      </c>
      <c r="AI368" s="139">
        <v>11.5</v>
      </c>
      <c r="AJ368" s="154"/>
    </row>
    <row r="369" ht="18" customHeight="1" outlineLevel="1" spans="2:36">
      <c r="B369" s="161"/>
      <c r="C369" s="91" t="s">
        <v>189</v>
      </c>
      <c r="D369" s="92"/>
      <c r="E369" s="92"/>
      <c r="F369" s="93">
        <v>660</v>
      </c>
      <c r="G369" s="93">
        <v>660</v>
      </c>
      <c r="H369" s="94">
        <v>660</v>
      </c>
      <c r="I369" s="94">
        <v>660</v>
      </c>
      <c r="J369" s="93">
        <v>660</v>
      </c>
      <c r="K369" s="93">
        <v>660</v>
      </c>
      <c r="L369" s="93">
        <v>660</v>
      </c>
      <c r="M369" s="93">
        <v>660</v>
      </c>
      <c r="N369" s="93">
        <v>700</v>
      </c>
      <c r="O369" s="94">
        <v>700</v>
      </c>
      <c r="P369" s="94">
        <v>700</v>
      </c>
      <c r="Q369" s="94">
        <v>720</v>
      </c>
      <c r="R369" s="93">
        <v>720</v>
      </c>
      <c r="S369" s="93">
        <v>720</v>
      </c>
      <c r="T369" s="93">
        <v>720</v>
      </c>
      <c r="U369" s="93">
        <v>720</v>
      </c>
      <c r="V369" s="94">
        <v>720</v>
      </c>
      <c r="W369" s="96">
        <v>720</v>
      </c>
      <c r="X369" s="93">
        <v>720</v>
      </c>
      <c r="Y369" s="93">
        <v>720</v>
      </c>
      <c r="Z369" s="93">
        <v>720</v>
      </c>
      <c r="AA369" s="93">
        <v>720</v>
      </c>
      <c r="AB369" s="93">
        <v>720</v>
      </c>
      <c r="AC369" s="94">
        <v>720</v>
      </c>
      <c r="AD369" s="94">
        <v>660</v>
      </c>
      <c r="AE369" s="93">
        <v>720</v>
      </c>
      <c r="AF369" s="93">
        <v>720</v>
      </c>
      <c r="AG369" s="93">
        <v>720</v>
      </c>
      <c r="AH369" s="93">
        <v>720</v>
      </c>
      <c r="AI369" s="93">
        <v>720</v>
      </c>
      <c r="AJ369" s="154">
        <v>701</v>
      </c>
    </row>
    <row r="370" ht="18" customHeight="1" outlineLevel="1" spans="2:36">
      <c r="B370" s="161"/>
      <c r="C370" s="91" t="s">
        <v>190</v>
      </c>
      <c r="D370" s="92">
        <v>16000</v>
      </c>
      <c r="E370" s="92">
        <f>SUM(F370:AI370)</f>
        <v>71322</v>
      </c>
      <c r="F370" s="95">
        <f t="shared" ref="F370:M370" si="247">F365*F368*F369</f>
        <v>0</v>
      </c>
      <c r="G370" s="95">
        <f t="shared" si="247"/>
        <v>0</v>
      </c>
      <c r="H370" s="96">
        <f t="shared" si="247"/>
        <v>0</v>
      </c>
      <c r="I370" s="96">
        <f>I365*I368*I369*0.35</f>
        <v>0</v>
      </c>
      <c r="J370" s="95">
        <f>J365*J368*J369*0.35</f>
        <v>0</v>
      </c>
      <c r="K370" s="95">
        <f>K365*K368*K369*0.45</f>
        <v>0</v>
      </c>
      <c r="L370" s="95">
        <f t="shared" si="247"/>
        <v>0</v>
      </c>
      <c r="M370" s="95">
        <f t="shared" si="247"/>
        <v>0</v>
      </c>
      <c r="N370" s="95">
        <v>0</v>
      </c>
      <c r="O370" s="96">
        <f>O365*O368*O369*0.45</f>
        <v>0</v>
      </c>
      <c r="P370" s="96">
        <f>P365*P368*P369*0.55</f>
        <v>0</v>
      </c>
      <c r="Q370" s="96">
        <f>Q365*Q368*Q369*0.7</f>
        <v>0</v>
      </c>
      <c r="R370" s="95">
        <f>R365*R368*R369*0.8</f>
        <v>0</v>
      </c>
      <c r="S370" s="95">
        <f>S365*S368*S369*0.85</f>
        <v>0</v>
      </c>
      <c r="T370" s="95">
        <f>T365*T368*T369*0.9</f>
        <v>0</v>
      </c>
      <c r="U370" s="95">
        <f>U365*U368*U369*0.95</f>
        <v>0</v>
      </c>
      <c r="V370" s="96">
        <f>V365*V368*V369</f>
        <v>0</v>
      </c>
      <c r="W370" s="96">
        <f>W365*W368*W369</f>
        <v>0</v>
      </c>
      <c r="X370" s="95">
        <f>X365*X368*X369*0.75</f>
        <v>6210</v>
      </c>
      <c r="Y370" s="95">
        <f>Y365*Y368*Y369*0.85</f>
        <v>4896</v>
      </c>
      <c r="Z370" s="95">
        <f>Z365*Z368*Z369*0.85</f>
        <v>4896</v>
      </c>
      <c r="AA370" s="95">
        <f t="shared" ref="AA370:AJ370" si="248">AA365*AA368*AA369</f>
        <v>5760</v>
      </c>
      <c r="AB370" s="128">
        <f t="shared" si="248"/>
        <v>1440</v>
      </c>
      <c r="AC370" s="96">
        <f t="shared" si="248"/>
        <v>0</v>
      </c>
      <c r="AD370" s="96">
        <f t="shared" si="248"/>
        <v>5280</v>
      </c>
      <c r="AE370" s="95">
        <f t="shared" si="248"/>
        <v>8640</v>
      </c>
      <c r="AF370" s="95">
        <f t="shared" si="248"/>
        <v>8640</v>
      </c>
      <c r="AG370" s="95">
        <f t="shared" si="248"/>
        <v>8640</v>
      </c>
      <c r="AH370" s="95">
        <f t="shared" si="248"/>
        <v>8640</v>
      </c>
      <c r="AI370" s="139">
        <f t="shared" si="248"/>
        <v>8280</v>
      </c>
      <c r="AJ370" s="154">
        <f t="shared" si="248"/>
        <v>0</v>
      </c>
    </row>
    <row r="371" ht="18" customHeight="1" outlineLevel="1" spans="2:36">
      <c r="B371" s="161"/>
      <c r="C371" s="91" t="s">
        <v>191</v>
      </c>
      <c r="D371" s="92"/>
      <c r="E371" s="108">
        <f>SUM(F371:AJ371)</f>
        <v>50450</v>
      </c>
      <c r="F371" s="98"/>
      <c r="G371" s="99"/>
      <c r="H371" s="100"/>
      <c r="I371" s="100"/>
      <c r="J371" s="99"/>
      <c r="K371" s="99"/>
      <c r="L371" s="95"/>
      <c r="M371" s="95"/>
      <c r="N371" s="95"/>
      <c r="O371" s="115"/>
      <c r="P371" s="115"/>
      <c r="Q371" s="115"/>
      <c r="R371" s="95"/>
      <c r="S371" s="95"/>
      <c r="T371" s="95"/>
      <c r="U371" s="95"/>
      <c r="V371" s="96"/>
      <c r="W371" s="96"/>
      <c r="X371" s="95">
        <v>6880</v>
      </c>
      <c r="Y371" s="128">
        <v>4100</v>
      </c>
      <c r="Z371" s="95">
        <v>2465</v>
      </c>
      <c r="AA371" s="95">
        <v>3064</v>
      </c>
      <c r="AB371" s="95">
        <v>1420</v>
      </c>
      <c r="AC371" s="96"/>
      <c r="AD371" s="96">
        <v>6504</v>
      </c>
      <c r="AE371" s="95">
        <v>6702</v>
      </c>
      <c r="AF371" s="139">
        <v>7883</v>
      </c>
      <c r="AG371" s="95">
        <v>4432</v>
      </c>
      <c r="AH371" s="139">
        <v>7000</v>
      </c>
      <c r="AI371" s="139"/>
      <c r="AJ371" s="154"/>
    </row>
    <row r="372" ht="18" customHeight="1" outlineLevel="1" spans="2:36">
      <c r="B372" s="161"/>
      <c r="C372" s="91" t="s">
        <v>192</v>
      </c>
      <c r="D372" s="92"/>
      <c r="E372" s="92"/>
      <c r="F372" s="95">
        <f t="shared" ref="F372:AJ372" si="249">F371-F370</f>
        <v>0</v>
      </c>
      <c r="G372" s="95">
        <f t="shared" si="249"/>
        <v>0</v>
      </c>
      <c r="H372" s="96">
        <f t="shared" si="249"/>
        <v>0</v>
      </c>
      <c r="I372" s="96">
        <f t="shared" si="249"/>
        <v>0</v>
      </c>
      <c r="J372" s="95">
        <f t="shared" si="249"/>
        <v>0</v>
      </c>
      <c r="K372" s="95">
        <f t="shared" si="249"/>
        <v>0</v>
      </c>
      <c r="L372" s="95">
        <f t="shared" si="249"/>
        <v>0</v>
      </c>
      <c r="M372" s="95">
        <f t="shared" si="249"/>
        <v>0</v>
      </c>
      <c r="N372" s="95">
        <v>0</v>
      </c>
      <c r="O372" s="96">
        <f t="shared" si="249"/>
        <v>0</v>
      </c>
      <c r="P372" s="96">
        <f t="shared" si="249"/>
        <v>0</v>
      </c>
      <c r="Q372" s="96">
        <f t="shared" si="249"/>
        <v>0</v>
      </c>
      <c r="R372" s="95">
        <f t="shared" si="249"/>
        <v>0</v>
      </c>
      <c r="S372" s="95">
        <f t="shared" si="249"/>
        <v>0</v>
      </c>
      <c r="T372" s="95">
        <f t="shared" si="249"/>
        <v>0</v>
      </c>
      <c r="U372" s="95">
        <f t="shared" si="249"/>
        <v>0</v>
      </c>
      <c r="V372" s="96">
        <f t="shared" si="249"/>
        <v>0</v>
      </c>
      <c r="W372" s="123">
        <f t="shared" si="249"/>
        <v>0</v>
      </c>
      <c r="X372" s="128">
        <f t="shared" si="249"/>
        <v>670</v>
      </c>
      <c r="Y372" s="128">
        <f t="shared" si="249"/>
        <v>-796</v>
      </c>
      <c r="Z372" s="128">
        <f t="shared" si="249"/>
        <v>-2431</v>
      </c>
      <c r="AA372" s="128">
        <f t="shared" si="249"/>
        <v>-2696</v>
      </c>
      <c r="AB372" s="128">
        <f t="shared" si="249"/>
        <v>-20</v>
      </c>
      <c r="AC372" s="96">
        <f t="shared" si="249"/>
        <v>0</v>
      </c>
      <c r="AD372" s="96">
        <f t="shared" si="249"/>
        <v>1224</v>
      </c>
      <c r="AE372" s="95">
        <f t="shared" si="249"/>
        <v>-1938</v>
      </c>
      <c r="AF372" s="139">
        <f t="shared" si="249"/>
        <v>-757</v>
      </c>
      <c r="AG372" s="95">
        <f t="shared" si="249"/>
        <v>-4208</v>
      </c>
      <c r="AH372" s="139">
        <f t="shared" si="249"/>
        <v>-1640</v>
      </c>
      <c r="AI372" s="139">
        <f t="shared" si="249"/>
        <v>-8280</v>
      </c>
      <c r="AJ372" s="154">
        <f t="shared" si="249"/>
        <v>0</v>
      </c>
    </row>
    <row r="373" ht="18" customHeight="1" outlineLevel="1" spans="2:36">
      <c r="B373" s="161"/>
      <c r="C373" s="91" t="s">
        <v>193</v>
      </c>
      <c r="D373" s="92"/>
      <c r="E373" s="92"/>
      <c r="F373" s="95">
        <f t="shared" ref="F373:AJ373" si="250">E373+F371</f>
        <v>0</v>
      </c>
      <c r="G373" s="95">
        <f t="shared" si="250"/>
        <v>0</v>
      </c>
      <c r="H373" s="96">
        <f t="shared" si="250"/>
        <v>0</v>
      </c>
      <c r="I373" s="96">
        <f t="shared" si="250"/>
        <v>0</v>
      </c>
      <c r="J373" s="95">
        <f t="shared" si="250"/>
        <v>0</v>
      </c>
      <c r="K373" s="95">
        <f t="shared" si="250"/>
        <v>0</v>
      </c>
      <c r="L373" s="95">
        <f t="shared" si="250"/>
        <v>0</v>
      </c>
      <c r="M373" s="95">
        <f t="shared" si="250"/>
        <v>0</v>
      </c>
      <c r="N373" s="95">
        <v>0</v>
      </c>
      <c r="O373" s="96">
        <f t="shared" si="250"/>
        <v>0</v>
      </c>
      <c r="P373" s="96">
        <f t="shared" si="250"/>
        <v>0</v>
      </c>
      <c r="Q373" s="96">
        <f t="shared" si="250"/>
        <v>0</v>
      </c>
      <c r="R373" s="95">
        <f t="shared" si="250"/>
        <v>0</v>
      </c>
      <c r="S373" s="95">
        <f t="shared" si="250"/>
        <v>0</v>
      </c>
      <c r="T373" s="95">
        <f t="shared" si="250"/>
        <v>0</v>
      </c>
      <c r="U373" s="95">
        <f t="shared" si="250"/>
        <v>0</v>
      </c>
      <c r="V373" s="96">
        <f t="shared" si="250"/>
        <v>0</v>
      </c>
      <c r="W373" s="123">
        <f t="shared" si="250"/>
        <v>0</v>
      </c>
      <c r="X373" s="128">
        <f t="shared" si="250"/>
        <v>6880</v>
      </c>
      <c r="Y373" s="128">
        <f t="shared" si="250"/>
        <v>10980</v>
      </c>
      <c r="Z373" s="128">
        <f t="shared" si="250"/>
        <v>13445</v>
      </c>
      <c r="AA373" s="128">
        <f t="shared" si="250"/>
        <v>16509</v>
      </c>
      <c r="AB373" s="128">
        <f t="shared" si="250"/>
        <v>17929</v>
      </c>
      <c r="AC373" s="96">
        <f t="shared" si="250"/>
        <v>17929</v>
      </c>
      <c r="AD373" s="96">
        <f t="shared" si="250"/>
        <v>24433</v>
      </c>
      <c r="AE373" s="95">
        <f t="shared" si="250"/>
        <v>31135</v>
      </c>
      <c r="AF373" s="139">
        <f t="shared" si="250"/>
        <v>39018</v>
      </c>
      <c r="AG373" s="95">
        <f t="shared" si="250"/>
        <v>43450</v>
      </c>
      <c r="AH373" s="139">
        <f t="shared" si="250"/>
        <v>50450</v>
      </c>
      <c r="AI373" s="139">
        <f t="shared" si="250"/>
        <v>50450</v>
      </c>
      <c r="AJ373" s="154">
        <f t="shared" si="250"/>
        <v>50450</v>
      </c>
    </row>
    <row r="374" ht="18" customHeight="1" spans="2:36">
      <c r="B374" s="164"/>
      <c r="C374" s="102" t="s">
        <v>194</v>
      </c>
      <c r="D374" s="103"/>
      <c r="E374" s="103"/>
      <c r="F374" s="104" t="str">
        <f t="shared" ref="F374:AJ374" si="251">IF(F371&gt;0,F371/F370,"")</f>
        <v/>
      </c>
      <c r="G374" s="104" t="str">
        <f t="shared" si="251"/>
        <v/>
      </c>
      <c r="H374" s="105" t="str">
        <f t="shared" si="251"/>
        <v/>
      </c>
      <c r="I374" s="105" t="str">
        <f t="shared" si="251"/>
        <v/>
      </c>
      <c r="J374" s="104" t="str">
        <f t="shared" si="251"/>
        <v/>
      </c>
      <c r="K374" s="104" t="str">
        <f t="shared" si="251"/>
        <v/>
      </c>
      <c r="L374" s="104" t="str">
        <f t="shared" si="251"/>
        <v/>
      </c>
      <c r="M374" s="104" t="str">
        <f t="shared" si="251"/>
        <v/>
      </c>
      <c r="N374" s="104" t="s">
        <v>195</v>
      </c>
      <c r="O374" s="105" t="str">
        <f t="shared" si="251"/>
        <v/>
      </c>
      <c r="P374" s="105" t="str">
        <f t="shared" si="251"/>
        <v/>
      </c>
      <c r="Q374" s="105" t="str">
        <f t="shared" si="251"/>
        <v/>
      </c>
      <c r="R374" s="104" t="str">
        <f t="shared" si="251"/>
        <v/>
      </c>
      <c r="S374" s="104" t="str">
        <f t="shared" si="251"/>
        <v/>
      </c>
      <c r="T374" s="104" t="str">
        <f t="shared" si="251"/>
        <v/>
      </c>
      <c r="U374" s="104" t="str">
        <f t="shared" si="251"/>
        <v/>
      </c>
      <c r="V374" s="105" t="str">
        <f t="shared" si="251"/>
        <v/>
      </c>
      <c r="W374" s="105" t="str">
        <f t="shared" si="251"/>
        <v/>
      </c>
      <c r="X374" s="104">
        <f t="shared" si="251"/>
        <v>1.10789049919485</v>
      </c>
      <c r="Y374" s="104">
        <f t="shared" si="251"/>
        <v>0.837418300653595</v>
      </c>
      <c r="Z374" s="142">
        <f t="shared" si="251"/>
        <v>0.503472222222222</v>
      </c>
      <c r="AA374" s="104">
        <f t="shared" si="251"/>
        <v>0.531944444444444</v>
      </c>
      <c r="AB374" s="104">
        <f t="shared" si="251"/>
        <v>0.986111111111111</v>
      </c>
      <c r="AC374" s="105" t="str">
        <f t="shared" si="251"/>
        <v/>
      </c>
      <c r="AD374" s="105">
        <f t="shared" si="251"/>
        <v>1.23181818181818</v>
      </c>
      <c r="AE374" s="104">
        <f t="shared" si="251"/>
        <v>0.775694444444444</v>
      </c>
      <c r="AF374" s="141">
        <f t="shared" si="251"/>
        <v>0.912384259259259</v>
      </c>
      <c r="AG374" s="104">
        <f t="shared" si="251"/>
        <v>0.512962962962963</v>
      </c>
      <c r="AH374" s="104">
        <f t="shared" si="251"/>
        <v>0.810185185185185</v>
      </c>
      <c r="AI374" s="104" t="str">
        <f t="shared" si="251"/>
        <v/>
      </c>
      <c r="AJ374" s="195" t="str">
        <f t="shared" si="251"/>
        <v/>
      </c>
    </row>
    <row r="375" ht="18" customHeight="1" outlineLevel="1" spans="2:36">
      <c r="B375" s="160" t="s">
        <v>211</v>
      </c>
      <c r="C375" s="86" t="s">
        <v>185</v>
      </c>
      <c r="D375" s="87"/>
      <c r="E375" s="87"/>
      <c r="F375" s="88"/>
      <c r="G375" s="88"/>
      <c r="H375" s="89"/>
      <c r="I375" s="89"/>
      <c r="J375" s="88"/>
      <c r="K375" s="88"/>
      <c r="L375" s="88"/>
      <c r="M375" s="88"/>
      <c r="N375" s="88"/>
      <c r="O375" s="89"/>
      <c r="P375" s="89"/>
      <c r="Q375" s="89"/>
      <c r="R375" s="88"/>
      <c r="S375" s="88"/>
      <c r="T375" s="88"/>
      <c r="U375" s="88"/>
      <c r="V375" s="89"/>
      <c r="W375" s="122"/>
      <c r="X375" s="88"/>
      <c r="Y375" s="88"/>
      <c r="Z375" s="88"/>
      <c r="AA375" s="88"/>
      <c r="AB375" s="127"/>
      <c r="AC375" s="89"/>
      <c r="AD375" s="89"/>
      <c r="AE375" s="88"/>
      <c r="AF375" s="88"/>
      <c r="AG375" s="88"/>
      <c r="AH375" s="88"/>
      <c r="AI375" s="137"/>
      <c r="AJ375" s="152"/>
    </row>
    <row r="376" ht="18" customHeight="1" outlineLevel="1" spans="2:36">
      <c r="B376" s="161"/>
      <c r="C376" s="91" t="s">
        <v>186</v>
      </c>
      <c r="D376" s="92"/>
      <c r="E376" s="92"/>
      <c r="F376" s="93">
        <v>46</v>
      </c>
      <c r="G376" s="93">
        <v>46</v>
      </c>
      <c r="H376" s="94">
        <v>46</v>
      </c>
      <c r="I376" s="94">
        <v>46</v>
      </c>
      <c r="J376" s="93">
        <v>46</v>
      </c>
      <c r="K376" s="93">
        <v>46</v>
      </c>
      <c r="L376" s="93">
        <v>46</v>
      </c>
      <c r="M376" s="93">
        <v>46</v>
      </c>
      <c r="N376" s="93">
        <v>35</v>
      </c>
      <c r="O376" s="94">
        <v>35</v>
      </c>
      <c r="P376" s="94">
        <v>35</v>
      </c>
      <c r="Q376" s="94">
        <v>35</v>
      </c>
      <c r="R376" s="93">
        <v>35</v>
      </c>
      <c r="S376" s="93">
        <v>35</v>
      </c>
      <c r="T376" s="93">
        <v>35</v>
      </c>
      <c r="U376" s="93">
        <v>35</v>
      </c>
      <c r="V376" s="94">
        <v>46</v>
      </c>
      <c r="W376" s="96">
        <v>35</v>
      </c>
      <c r="X376" s="93">
        <v>35</v>
      </c>
      <c r="Y376" s="93">
        <v>35</v>
      </c>
      <c r="Z376" s="93">
        <v>35</v>
      </c>
      <c r="AA376" s="93">
        <v>35</v>
      </c>
      <c r="AB376" s="128">
        <v>35</v>
      </c>
      <c r="AC376" s="94">
        <v>46</v>
      </c>
      <c r="AD376" s="94">
        <v>35</v>
      </c>
      <c r="AE376" s="93">
        <v>35</v>
      </c>
      <c r="AF376" s="93">
        <v>35</v>
      </c>
      <c r="AG376" s="93">
        <v>35</v>
      </c>
      <c r="AH376" s="93">
        <v>35</v>
      </c>
      <c r="AI376" s="138">
        <v>35</v>
      </c>
      <c r="AJ376" s="153">
        <v>36</v>
      </c>
    </row>
    <row r="377" ht="18" customHeight="1" outlineLevel="1" spans="2:36">
      <c r="B377" s="161"/>
      <c r="C377" s="91" t="s">
        <v>187</v>
      </c>
      <c r="D377" s="92"/>
      <c r="E377" s="92"/>
      <c r="F377" s="93">
        <f t="shared" ref="F377:AJ377" si="252">F375*F376</f>
        <v>0</v>
      </c>
      <c r="G377" s="93">
        <f t="shared" si="252"/>
        <v>0</v>
      </c>
      <c r="H377" s="94">
        <f t="shared" si="252"/>
        <v>0</v>
      </c>
      <c r="I377" s="94">
        <f t="shared" si="252"/>
        <v>0</v>
      </c>
      <c r="J377" s="93">
        <f t="shared" si="252"/>
        <v>0</v>
      </c>
      <c r="K377" s="93">
        <f t="shared" si="252"/>
        <v>0</v>
      </c>
      <c r="L377" s="93">
        <f t="shared" si="252"/>
        <v>0</v>
      </c>
      <c r="M377" s="93">
        <f t="shared" si="252"/>
        <v>0</v>
      </c>
      <c r="N377" s="93">
        <v>0</v>
      </c>
      <c r="O377" s="94">
        <f t="shared" si="252"/>
        <v>0</v>
      </c>
      <c r="P377" s="94">
        <f t="shared" si="252"/>
        <v>0</v>
      </c>
      <c r="Q377" s="94">
        <f t="shared" si="252"/>
        <v>0</v>
      </c>
      <c r="R377" s="93">
        <f t="shared" si="252"/>
        <v>0</v>
      </c>
      <c r="S377" s="93">
        <f t="shared" si="252"/>
        <v>0</v>
      </c>
      <c r="T377" s="93">
        <f t="shared" si="252"/>
        <v>0</v>
      </c>
      <c r="U377" s="93">
        <f t="shared" si="252"/>
        <v>0</v>
      </c>
      <c r="V377" s="94">
        <f t="shared" si="252"/>
        <v>0</v>
      </c>
      <c r="W377" s="96">
        <f t="shared" si="252"/>
        <v>0</v>
      </c>
      <c r="X377" s="93">
        <f t="shared" si="252"/>
        <v>0</v>
      </c>
      <c r="Y377" s="93">
        <f t="shared" si="252"/>
        <v>0</v>
      </c>
      <c r="Z377" s="93">
        <f t="shared" si="252"/>
        <v>0</v>
      </c>
      <c r="AA377" s="93">
        <f t="shared" si="252"/>
        <v>0</v>
      </c>
      <c r="AB377" s="93">
        <f t="shared" si="252"/>
        <v>0</v>
      </c>
      <c r="AC377" s="94">
        <f t="shared" si="252"/>
        <v>0</v>
      </c>
      <c r="AD377" s="94">
        <f t="shared" si="252"/>
        <v>0</v>
      </c>
      <c r="AE377" s="93">
        <f t="shared" si="252"/>
        <v>0</v>
      </c>
      <c r="AF377" s="93">
        <f t="shared" si="252"/>
        <v>0</v>
      </c>
      <c r="AG377" s="93">
        <f t="shared" si="252"/>
        <v>0</v>
      </c>
      <c r="AH377" s="93">
        <f t="shared" si="252"/>
        <v>0</v>
      </c>
      <c r="AI377" s="138">
        <f t="shared" si="252"/>
        <v>0</v>
      </c>
      <c r="AJ377" s="153">
        <f t="shared" si="252"/>
        <v>0</v>
      </c>
    </row>
    <row r="378" ht="18" customHeight="1" outlineLevel="1" spans="2:36">
      <c r="B378" s="161"/>
      <c r="C378" s="91" t="s">
        <v>188</v>
      </c>
      <c r="D378" s="92"/>
      <c r="E378" s="92"/>
      <c r="F378" s="93"/>
      <c r="G378" s="93"/>
      <c r="H378" s="94"/>
      <c r="I378" s="94"/>
      <c r="J378" s="93"/>
      <c r="K378" s="93"/>
      <c r="L378" s="93"/>
      <c r="M378" s="93"/>
      <c r="N378" s="93"/>
      <c r="O378" s="94"/>
      <c r="P378" s="94"/>
      <c r="Q378" s="94"/>
      <c r="R378" s="93"/>
      <c r="S378" s="93"/>
      <c r="T378" s="93"/>
      <c r="U378" s="93"/>
      <c r="V378" s="94"/>
      <c r="W378" s="96"/>
      <c r="X378" s="93"/>
      <c r="Y378" s="93"/>
      <c r="Z378" s="93"/>
      <c r="AA378" s="93"/>
      <c r="AB378" s="93"/>
      <c r="AC378" s="94"/>
      <c r="AD378" s="94"/>
      <c r="AE378" s="93"/>
      <c r="AF378" s="93"/>
      <c r="AG378" s="93"/>
      <c r="AH378" s="93"/>
      <c r="AI378" s="138"/>
      <c r="AJ378" s="153"/>
    </row>
    <row r="379" ht="18" customHeight="1" outlineLevel="1" spans="2:36">
      <c r="B379" s="161"/>
      <c r="C379" s="91" t="s">
        <v>189</v>
      </c>
      <c r="D379" s="92"/>
      <c r="E379" s="92"/>
      <c r="F379" s="93">
        <v>660</v>
      </c>
      <c r="G379" s="93">
        <v>660</v>
      </c>
      <c r="H379" s="94">
        <v>660</v>
      </c>
      <c r="I379" s="94">
        <v>660</v>
      </c>
      <c r="J379" s="93">
        <v>660</v>
      </c>
      <c r="K379" s="93">
        <v>660</v>
      </c>
      <c r="L379" s="93">
        <v>660</v>
      </c>
      <c r="M379" s="93">
        <v>660</v>
      </c>
      <c r="N379" s="93">
        <v>700</v>
      </c>
      <c r="O379" s="94">
        <v>700</v>
      </c>
      <c r="P379" s="94">
        <v>700</v>
      </c>
      <c r="Q379" s="94">
        <v>700</v>
      </c>
      <c r="R379" s="93">
        <v>700</v>
      </c>
      <c r="S379" s="93">
        <v>700</v>
      </c>
      <c r="T379" s="93">
        <v>700</v>
      </c>
      <c r="U379" s="93">
        <v>700</v>
      </c>
      <c r="V379" s="94">
        <v>660</v>
      </c>
      <c r="W379" s="96">
        <v>700</v>
      </c>
      <c r="X379" s="93">
        <v>700</v>
      </c>
      <c r="Y379" s="93">
        <v>700</v>
      </c>
      <c r="Z379" s="93">
        <v>700</v>
      </c>
      <c r="AA379" s="93">
        <v>700</v>
      </c>
      <c r="AB379" s="93">
        <v>700</v>
      </c>
      <c r="AC379" s="94">
        <v>660</v>
      </c>
      <c r="AD379" s="94">
        <v>700</v>
      </c>
      <c r="AE379" s="93">
        <v>700</v>
      </c>
      <c r="AF379" s="93">
        <v>700</v>
      </c>
      <c r="AG379" s="93">
        <v>700</v>
      </c>
      <c r="AH379" s="93">
        <v>700</v>
      </c>
      <c r="AI379" s="138">
        <v>700</v>
      </c>
      <c r="AJ379" s="153">
        <v>701</v>
      </c>
    </row>
    <row r="380" ht="18" customHeight="1" outlineLevel="1" spans="2:36">
      <c r="B380" s="161"/>
      <c r="C380" s="91" t="s">
        <v>190</v>
      </c>
      <c r="D380" s="92">
        <v>0</v>
      </c>
      <c r="E380" s="92">
        <f>SUM(F380:AI380)</f>
        <v>0</v>
      </c>
      <c r="F380" s="95">
        <f t="shared" ref="F380:AA380" si="253">F375*F378*F379</f>
        <v>0</v>
      </c>
      <c r="G380" s="95">
        <f t="shared" si="253"/>
        <v>0</v>
      </c>
      <c r="H380" s="96">
        <f t="shared" si="253"/>
        <v>0</v>
      </c>
      <c r="I380" s="96">
        <f t="shared" si="253"/>
        <v>0</v>
      </c>
      <c r="J380" s="95">
        <f t="shared" si="253"/>
        <v>0</v>
      </c>
      <c r="K380" s="95">
        <f t="shared" si="253"/>
        <v>0</v>
      </c>
      <c r="L380" s="95">
        <f t="shared" si="253"/>
        <v>0</v>
      </c>
      <c r="M380" s="95">
        <f t="shared" si="253"/>
        <v>0</v>
      </c>
      <c r="N380" s="95">
        <v>0</v>
      </c>
      <c r="O380" s="96">
        <f>O375*O378*O379*0.45</f>
        <v>0</v>
      </c>
      <c r="P380" s="96">
        <f>P375*P378*P379*0.55</f>
        <v>0</v>
      </c>
      <c r="Q380" s="96">
        <f>Q375*Q378*Q379*0.65</f>
        <v>0</v>
      </c>
      <c r="R380" s="95">
        <f>R375*R378*R379*0.75</f>
        <v>0</v>
      </c>
      <c r="S380" s="95">
        <f>S375*S378*S379*0.85</f>
        <v>0</v>
      </c>
      <c r="T380" s="95">
        <f>T375*T378*T379*0.95</f>
        <v>0</v>
      </c>
      <c r="U380" s="95">
        <f t="shared" si="253"/>
        <v>0</v>
      </c>
      <c r="V380" s="96">
        <f t="shared" si="253"/>
        <v>0</v>
      </c>
      <c r="W380" s="96">
        <f t="shared" si="253"/>
        <v>0</v>
      </c>
      <c r="X380" s="95">
        <f t="shared" si="253"/>
        <v>0</v>
      </c>
      <c r="Y380" s="95">
        <f t="shared" si="253"/>
        <v>0</v>
      </c>
      <c r="Z380" s="95">
        <f t="shared" si="253"/>
        <v>0</v>
      </c>
      <c r="AA380" s="95">
        <f t="shared" si="253"/>
        <v>0</v>
      </c>
      <c r="AB380" s="128">
        <f>AB375*AB378*AB379*0.75</f>
        <v>0</v>
      </c>
      <c r="AC380" s="96">
        <f>AC375*AC378*AC379*0.85</f>
        <v>0</v>
      </c>
      <c r="AD380" s="96">
        <f t="shared" ref="AD380:AJ380" si="254">AD375*AD378*AD379</f>
        <v>0</v>
      </c>
      <c r="AE380" s="95">
        <f t="shared" si="254"/>
        <v>0</v>
      </c>
      <c r="AF380" s="95">
        <f t="shared" si="254"/>
        <v>0</v>
      </c>
      <c r="AG380" s="95">
        <f t="shared" si="254"/>
        <v>0</v>
      </c>
      <c r="AH380" s="95">
        <f t="shared" si="254"/>
        <v>0</v>
      </c>
      <c r="AI380" s="139">
        <f t="shared" si="254"/>
        <v>0</v>
      </c>
      <c r="AJ380" s="154">
        <f t="shared" si="254"/>
        <v>0</v>
      </c>
    </row>
    <row r="381" ht="18" customHeight="1" outlineLevel="1" spans="2:36">
      <c r="B381" s="162"/>
      <c r="C381" s="91" t="s">
        <v>191</v>
      </c>
      <c r="D381" s="92"/>
      <c r="E381" s="108">
        <f>SUM(F381:AJ381)</f>
        <v>0</v>
      </c>
      <c r="F381" s="98"/>
      <c r="G381" s="99"/>
      <c r="H381" s="100"/>
      <c r="I381" s="100"/>
      <c r="J381" s="99"/>
      <c r="K381" s="99"/>
      <c r="L381" s="95"/>
      <c r="M381" s="95"/>
      <c r="N381" s="95"/>
      <c r="O381" s="115"/>
      <c r="P381" s="115"/>
      <c r="Q381" s="115"/>
      <c r="R381" s="95"/>
      <c r="S381" s="95"/>
      <c r="T381" s="95"/>
      <c r="U381" s="95"/>
      <c r="V381" s="96"/>
      <c r="W381" s="96"/>
      <c r="X381" s="95"/>
      <c r="Y381" s="128"/>
      <c r="Z381" s="95"/>
      <c r="AA381" s="95"/>
      <c r="AB381" s="95"/>
      <c r="AC381" s="96"/>
      <c r="AD381" s="96"/>
      <c r="AE381" s="95"/>
      <c r="AF381" s="194"/>
      <c r="AG381" s="95"/>
      <c r="AH381" s="139"/>
      <c r="AI381" s="139"/>
      <c r="AJ381" s="154"/>
    </row>
    <row r="382" ht="18" customHeight="1" outlineLevel="1" spans="2:36">
      <c r="B382" s="161"/>
      <c r="C382" s="91" t="s">
        <v>192</v>
      </c>
      <c r="D382" s="92"/>
      <c r="E382" s="92"/>
      <c r="F382" s="95">
        <f t="shared" ref="F382:H382" si="255">F381-F380</f>
        <v>0</v>
      </c>
      <c r="G382" s="95">
        <f t="shared" si="255"/>
        <v>0</v>
      </c>
      <c r="H382" s="96">
        <f t="shared" si="255"/>
        <v>0</v>
      </c>
      <c r="I382" s="96"/>
      <c r="J382" s="95">
        <f t="shared" ref="J382:AJ382" si="256">J381-J380</f>
        <v>0</v>
      </c>
      <c r="K382" s="95">
        <f t="shared" si="256"/>
        <v>0</v>
      </c>
      <c r="L382" s="95">
        <f t="shared" si="256"/>
        <v>0</v>
      </c>
      <c r="M382" s="95">
        <f t="shared" si="256"/>
        <v>0</v>
      </c>
      <c r="N382" s="95">
        <v>0</v>
      </c>
      <c r="O382" s="96">
        <f t="shared" si="256"/>
        <v>0</v>
      </c>
      <c r="P382" s="96">
        <f t="shared" si="256"/>
        <v>0</v>
      </c>
      <c r="Q382" s="96">
        <f t="shared" si="256"/>
        <v>0</v>
      </c>
      <c r="R382" s="95">
        <f t="shared" si="256"/>
        <v>0</v>
      </c>
      <c r="S382" s="95">
        <f t="shared" si="256"/>
        <v>0</v>
      </c>
      <c r="T382" s="95">
        <f t="shared" si="256"/>
        <v>0</v>
      </c>
      <c r="U382" s="95">
        <f t="shared" si="256"/>
        <v>0</v>
      </c>
      <c r="V382" s="96">
        <f t="shared" si="256"/>
        <v>0</v>
      </c>
      <c r="W382" s="123">
        <f t="shared" si="256"/>
        <v>0</v>
      </c>
      <c r="X382" s="128">
        <f t="shared" si="256"/>
        <v>0</v>
      </c>
      <c r="Y382" s="128">
        <f t="shared" si="256"/>
        <v>0</v>
      </c>
      <c r="Z382" s="128">
        <f t="shared" si="256"/>
        <v>0</v>
      </c>
      <c r="AA382" s="128">
        <f t="shared" si="256"/>
        <v>0</v>
      </c>
      <c r="AB382" s="128">
        <f t="shared" si="256"/>
        <v>0</v>
      </c>
      <c r="AC382" s="96">
        <f t="shared" si="256"/>
        <v>0</v>
      </c>
      <c r="AD382" s="96">
        <f t="shared" si="256"/>
        <v>0</v>
      </c>
      <c r="AE382" s="95">
        <f t="shared" si="256"/>
        <v>0</v>
      </c>
      <c r="AF382" s="139">
        <f t="shared" si="256"/>
        <v>0</v>
      </c>
      <c r="AG382" s="95">
        <f t="shared" si="256"/>
        <v>0</v>
      </c>
      <c r="AH382" s="139">
        <f t="shared" si="256"/>
        <v>0</v>
      </c>
      <c r="AI382" s="139">
        <f t="shared" si="256"/>
        <v>0</v>
      </c>
      <c r="AJ382" s="154">
        <f t="shared" si="256"/>
        <v>0</v>
      </c>
    </row>
    <row r="383" ht="18" customHeight="1" outlineLevel="1" spans="2:36">
      <c r="B383" s="161"/>
      <c r="C383" s="91" t="s">
        <v>193</v>
      </c>
      <c r="D383" s="92"/>
      <c r="E383" s="92"/>
      <c r="F383" s="95">
        <f t="shared" ref="F383:H383" si="257">E383+F381</f>
        <v>0</v>
      </c>
      <c r="G383" s="95">
        <f t="shared" si="257"/>
        <v>0</v>
      </c>
      <c r="H383" s="96">
        <f t="shared" si="257"/>
        <v>0</v>
      </c>
      <c r="I383" s="96"/>
      <c r="J383" s="95">
        <f t="shared" ref="J383:AJ383" si="258">I383+J381</f>
        <v>0</v>
      </c>
      <c r="K383" s="95">
        <f t="shared" si="258"/>
        <v>0</v>
      </c>
      <c r="L383" s="95">
        <f t="shared" si="258"/>
        <v>0</v>
      </c>
      <c r="M383" s="95">
        <f t="shared" si="258"/>
        <v>0</v>
      </c>
      <c r="N383" s="95">
        <v>0</v>
      </c>
      <c r="O383" s="96">
        <f t="shared" si="258"/>
        <v>0</v>
      </c>
      <c r="P383" s="96">
        <f t="shared" si="258"/>
        <v>0</v>
      </c>
      <c r="Q383" s="96">
        <f t="shared" si="258"/>
        <v>0</v>
      </c>
      <c r="R383" s="95">
        <f t="shared" si="258"/>
        <v>0</v>
      </c>
      <c r="S383" s="95">
        <f t="shared" si="258"/>
        <v>0</v>
      </c>
      <c r="T383" s="95">
        <f t="shared" si="258"/>
        <v>0</v>
      </c>
      <c r="U383" s="95">
        <f t="shared" si="258"/>
        <v>0</v>
      </c>
      <c r="V383" s="96">
        <f t="shared" si="258"/>
        <v>0</v>
      </c>
      <c r="W383" s="123">
        <f t="shared" si="258"/>
        <v>0</v>
      </c>
      <c r="X383" s="128">
        <f t="shared" si="258"/>
        <v>0</v>
      </c>
      <c r="Y383" s="128">
        <f t="shared" si="258"/>
        <v>0</v>
      </c>
      <c r="Z383" s="128">
        <f t="shared" si="258"/>
        <v>0</v>
      </c>
      <c r="AA383" s="128">
        <f t="shared" si="258"/>
        <v>0</v>
      </c>
      <c r="AB383" s="128">
        <f t="shared" si="258"/>
        <v>0</v>
      </c>
      <c r="AC383" s="96">
        <f t="shared" si="258"/>
        <v>0</v>
      </c>
      <c r="AD383" s="96">
        <f t="shared" si="258"/>
        <v>0</v>
      </c>
      <c r="AE383" s="95">
        <f t="shared" si="258"/>
        <v>0</v>
      </c>
      <c r="AF383" s="139">
        <f t="shared" si="258"/>
        <v>0</v>
      </c>
      <c r="AG383" s="95">
        <f t="shared" si="258"/>
        <v>0</v>
      </c>
      <c r="AH383" s="139">
        <f t="shared" si="258"/>
        <v>0</v>
      </c>
      <c r="AI383" s="139">
        <f t="shared" si="258"/>
        <v>0</v>
      </c>
      <c r="AJ383" s="154">
        <f t="shared" si="258"/>
        <v>0</v>
      </c>
    </row>
    <row r="384" ht="18" customHeight="1" spans="2:36">
      <c r="B384" s="164"/>
      <c r="C384" s="102" t="s">
        <v>194</v>
      </c>
      <c r="D384" s="103"/>
      <c r="E384" s="103"/>
      <c r="F384" s="104" t="str">
        <f t="shared" ref="F384:AJ384" si="259">IF(F381&gt;0,F381/F380,"")</f>
        <v/>
      </c>
      <c r="G384" s="104" t="str">
        <f t="shared" si="259"/>
        <v/>
      </c>
      <c r="H384" s="105" t="str">
        <f t="shared" si="259"/>
        <v/>
      </c>
      <c r="I384" s="105" t="str">
        <f t="shared" si="259"/>
        <v/>
      </c>
      <c r="J384" s="104" t="str">
        <f t="shared" si="259"/>
        <v/>
      </c>
      <c r="K384" s="104" t="str">
        <f t="shared" si="259"/>
        <v/>
      </c>
      <c r="L384" s="104" t="str">
        <f t="shared" si="259"/>
        <v/>
      </c>
      <c r="M384" s="104" t="str">
        <f t="shared" si="259"/>
        <v/>
      </c>
      <c r="N384" s="104" t="s">
        <v>195</v>
      </c>
      <c r="O384" s="105" t="str">
        <f t="shared" si="259"/>
        <v/>
      </c>
      <c r="P384" s="105" t="str">
        <f t="shared" si="259"/>
        <v/>
      </c>
      <c r="Q384" s="105" t="str">
        <f t="shared" si="259"/>
        <v/>
      </c>
      <c r="R384" s="104" t="str">
        <f t="shared" si="259"/>
        <v/>
      </c>
      <c r="S384" s="104" t="str">
        <f t="shared" si="259"/>
        <v/>
      </c>
      <c r="T384" s="104" t="str">
        <f t="shared" si="259"/>
        <v/>
      </c>
      <c r="U384" s="104" t="str">
        <f t="shared" si="259"/>
        <v/>
      </c>
      <c r="V384" s="105" t="str">
        <f t="shared" si="259"/>
        <v/>
      </c>
      <c r="W384" s="105" t="str">
        <f t="shared" si="259"/>
        <v/>
      </c>
      <c r="X384" s="104" t="str">
        <f t="shared" si="259"/>
        <v/>
      </c>
      <c r="Y384" s="188" t="str">
        <f t="shared" si="259"/>
        <v/>
      </c>
      <c r="Z384" s="142" t="str">
        <f t="shared" si="259"/>
        <v/>
      </c>
      <c r="AA384" s="104" t="str">
        <f t="shared" si="259"/>
        <v/>
      </c>
      <c r="AB384" s="104" t="str">
        <f t="shared" si="259"/>
        <v/>
      </c>
      <c r="AC384" s="105" t="str">
        <f t="shared" si="259"/>
        <v/>
      </c>
      <c r="AD384" s="105" t="str">
        <f t="shared" si="259"/>
        <v/>
      </c>
      <c r="AE384" s="104" t="str">
        <f t="shared" si="259"/>
        <v/>
      </c>
      <c r="AF384" s="141" t="str">
        <f t="shared" si="259"/>
        <v/>
      </c>
      <c r="AG384" s="104" t="str">
        <f t="shared" si="259"/>
        <v/>
      </c>
      <c r="AH384" s="155" t="str">
        <f t="shared" si="259"/>
        <v/>
      </c>
      <c r="AI384" s="141" t="str">
        <f t="shared" si="259"/>
        <v/>
      </c>
      <c r="AJ384" s="195" t="str">
        <f t="shared" si="259"/>
        <v/>
      </c>
    </row>
    <row r="385" ht="18" customHeight="1" outlineLevel="1" spans="2:36">
      <c r="B385" s="160" t="s">
        <v>109</v>
      </c>
      <c r="C385" s="86" t="s">
        <v>185</v>
      </c>
      <c r="D385" s="87"/>
      <c r="E385" s="87"/>
      <c r="F385" s="88">
        <v>2</v>
      </c>
      <c r="G385" s="88">
        <v>3</v>
      </c>
      <c r="H385" s="89">
        <v>3</v>
      </c>
      <c r="I385" s="89">
        <v>3</v>
      </c>
      <c r="J385" s="88">
        <v>4</v>
      </c>
      <c r="K385" s="88">
        <v>4</v>
      </c>
      <c r="L385" s="88">
        <v>4</v>
      </c>
      <c r="M385" s="88">
        <v>4</v>
      </c>
      <c r="N385" s="88">
        <v>4</v>
      </c>
      <c r="O385" s="89">
        <v>0</v>
      </c>
      <c r="P385" s="89">
        <v>4</v>
      </c>
      <c r="Q385" s="89">
        <v>4</v>
      </c>
      <c r="R385" s="88">
        <v>4</v>
      </c>
      <c r="S385" s="88">
        <v>4</v>
      </c>
      <c r="T385" s="88">
        <v>4</v>
      </c>
      <c r="U385" s="88">
        <v>4</v>
      </c>
      <c r="V385" s="89">
        <v>2</v>
      </c>
      <c r="W385" s="126">
        <v>1</v>
      </c>
      <c r="X385" s="88"/>
      <c r="Y385" s="88"/>
      <c r="Z385" s="88">
        <v>1</v>
      </c>
      <c r="AA385" s="88">
        <v>1</v>
      </c>
      <c r="AB385" s="88">
        <v>1</v>
      </c>
      <c r="AC385" s="89">
        <v>1</v>
      </c>
      <c r="AD385" s="89">
        <v>2</v>
      </c>
      <c r="AE385" s="144">
        <v>2</v>
      </c>
      <c r="AF385" s="145">
        <v>4</v>
      </c>
      <c r="AG385" s="88">
        <v>5</v>
      </c>
      <c r="AH385" s="157">
        <v>3</v>
      </c>
      <c r="AI385" s="137"/>
      <c r="AJ385" s="152"/>
    </row>
    <row r="386" ht="18" customHeight="1" outlineLevel="1" spans="2:36">
      <c r="B386" s="161"/>
      <c r="C386" s="91" t="s">
        <v>186</v>
      </c>
      <c r="D386" s="92"/>
      <c r="E386" s="92"/>
      <c r="F386" s="93">
        <v>50</v>
      </c>
      <c r="G386" s="93">
        <v>50</v>
      </c>
      <c r="H386" s="94">
        <v>50</v>
      </c>
      <c r="I386" s="94">
        <v>50</v>
      </c>
      <c r="J386" s="93">
        <v>50</v>
      </c>
      <c r="K386" s="93">
        <v>50</v>
      </c>
      <c r="L386" s="93">
        <v>50</v>
      </c>
      <c r="M386" s="93">
        <v>50</v>
      </c>
      <c r="N386" s="93">
        <v>50</v>
      </c>
      <c r="O386" s="94">
        <v>50</v>
      </c>
      <c r="P386" s="94">
        <v>50</v>
      </c>
      <c r="Q386" s="94">
        <v>50</v>
      </c>
      <c r="R386" s="93">
        <v>50</v>
      </c>
      <c r="S386" s="93">
        <v>50</v>
      </c>
      <c r="T386" s="93">
        <v>51</v>
      </c>
      <c r="U386" s="93">
        <v>50</v>
      </c>
      <c r="V386" s="94">
        <v>50</v>
      </c>
      <c r="W386" s="123">
        <v>50</v>
      </c>
      <c r="X386" s="93">
        <v>50</v>
      </c>
      <c r="Y386" s="93">
        <v>50</v>
      </c>
      <c r="Z386" s="93">
        <v>50</v>
      </c>
      <c r="AA386" s="93">
        <v>50</v>
      </c>
      <c r="AB386" s="93">
        <v>50</v>
      </c>
      <c r="AC386" s="94">
        <v>50</v>
      </c>
      <c r="AD386" s="94">
        <v>50</v>
      </c>
      <c r="AE386" s="93">
        <v>51</v>
      </c>
      <c r="AF386" s="93">
        <v>51</v>
      </c>
      <c r="AG386" s="93">
        <v>51</v>
      </c>
      <c r="AH386" s="93">
        <v>51</v>
      </c>
      <c r="AI386" s="93">
        <v>50</v>
      </c>
      <c r="AJ386" s="153">
        <v>50</v>
      </c>
    </row>
    <row r="387" ht="18" customHeight="1" outlineLevel="1" spans="2:36">
      <c r="B387" s="161"/>
      <c r="C387" s="91" t="s">
        <v>187</v>
      </c>
      <c r="D387" s="92"/>
      <c r="E387" s="92"/>
      <c r="F387" s="93">
        <f t="shared" ref="F387:AJ387" si="260">F385*F386</f>
        <v>100</v>
      </c>
      <c r="G387" s="93">
        <f t="shared" si="260"/>
        <v>150</v>
      </c>
      <c r="H387" s="94">
        <f t="shared" si="260"/>
        <v>150</v>
      </c>
      <c r="I387" s="94">
        <f t="shared" si="260"/>
        <v>150</v>
      </c>
      <c r="J387" s="93">
        <f t="shared" si="260"/>
        <v>200</v>
      </c>
      <c r="K387" s="93">
        <f t="shared" si="260"/>
        <v>200</v>
      </c>
      <c r="L387" s="93">
        <f t="shared" si="260"/>
        <v>200</v>
      </c>
      <c r="M387" s="93">
        <f t="shared" si="260"/>
        <v>200</v>
      </c>
      <c r="N387" s="93">
        <v>200</v>
      </c>
      <c r="O387" s="94">
        <f t="shared" si="260"/>
        <v>0</v>
      </c>
      <c r="P387" s="94">
        <f t="shared" si="260"/>
        <v>200</v>
      </c>
      <c r="Q387" s="94">
        <f t="shared" si="260"/>
        <v>200</v>
      </c>
      <c r="R387" s="93">
        <f t="shared" si="260"/>
        <v>200</v>
      </c>
      <c r="S387" s="93">
        <f t="shared" si="260"/>
        <v>200</v>
      </c>
      <c r="T387" s="93">
        <f t="shared" si="260"/>
        <v>204</v>
      </c>
      <c r="U387" s="93">
        <f t="shared" si="260"/>
        <v>200</v>
      </c>
      <c r="V387" s="94">
        <f t="shared" si="260"/>
        <v>100</v>
      </c>
      <c r="W387" s="96">
        <f t="shared" si="260"/>
        <v>50</v>
      </c>
      <c r="X387" s="93">
        <f t="shared" si="260"/>
        <v>0</v>
      </c>
      <c r="Y387" s="93">
        <f t="shared" si="260"/>
        <v>0</v>
      </c>
      <c r="Z387" s="93">
        <f t="shared" si="260"/>
        <v>50</v>
      </c>
      <c r="AA387" s="93">
        <f t="shared" si="260"/>
        <v>50</v>
      </c>
      <c r="AB387" s="93">
        <f t="shared" si="260"/>
        <v>50</v>
      </c>
      <c r="AC387" s="94">
        <f t="shared" si="260"/>
        <v>50</v>
      </c>
      <c r="AD387" s="94">
        <f t="shared" si="260"/>
        <v>100</v>
      </c>
      <c r="AE387" s="93">
        <f t="shared" si="260"/>
        <v>102</v>
      </c>
      <c r="AF387" s="138">
        <f t="shared" si="260"/>
        <v>204</v>
      </c>
      <c r="AG387" s="93">
        <f t="shared" si="260"/>
        <v>255</v>
      </c>
      <c r="AH387" s="139">
        <f t="shared" si="260"/>
        <v>153</v>
      </c>
      <c r="AI387" s="138">
        <f t="shared" si="260"/>
        <v>0</v>
      </c>
      <c r="AJ387" s="153">
        <f t="shared" si="260"/>
        <v>0</v>
      </c>
    </row>
    <row r="388" ht="18" customHeight="1" outlineLevel="1" spans="2:36">
      <c r="B388" s="161"/>
      <c r="C388" s="91" t="s">
        <v>188</v>
      </c>
      <c r="D388" s="92"/>
      <c r="E388" s="92"/>
      <c r="F388" s="93">
        <v>11.5</v>
      </c>
      <c r="G388" s="93">
        <v>11.5</v>
      </c>
      <c r="H388" s="94">
        <v>11.5</v>
      </c>
      <c r="I388" s="94">
        <v>8</v>
      </c>
      <c r="J388" s="93">
        <v>11.5</v>
      </c>
      <c r="K388" s="93">
        <v>11.5</v>
      </c>
      <c r="L388" s="93">
        <v>11.5</v>
      </c>
      <c r="M388" s="93">
        <v>11.5</v>
      </c>
      <c r="N388" s="93">
        <v>11.5</v>
      </c>
      <c r="O388" s="94">
        <v>11.5</v>
      </c>
      <c r="P388" s="94">
        <v>11.5</v>
      </c>
      <c r="Q388" s="94">
        <v>8</v>
      </c>
      <c r="R388" s="93">
        <v>11.5</v>
      </c>
      <c r="S388" s="93">
        <v>11.5</v>
      </c>
      <c r="T388" s="93">
        <v>11.5</v>
      </c>
      <c r="U388" s="93">
        <v>11.5</v>
      </c>
      <c r="V388" s="94">
        <v>11.5</v>
      </c>
      <c r="W388" s="96">
        <v>8</v>
      </c>
      <c r="X388" s="93">
        <v>11.5</v>
      </c>
      <c r="Y388" s="93">
        <v>11.5</v>
      </c>
      <c r="Z388" s="93">
        <v>8</v>
      </c>
      <c r="AA388" s="93">
        <v>8</v>
      </c>
      <c r="AB388" s="93">
        <v>8</v>
      </c>
      <c r="AC388" s="94">
        <v>11.5</v>
      </c>
      <c r="AD388" s="94">
        <v>11.5</v>
      </c>
      <c r="AE388" s="93">
        <v>11.5</v>
      </c>
      <c r="AF388" s="93">
        <v>11.5</v>
      </c>
      <c r="AG388" s="93">
        <v>11.5</v>
      </c>
      <c r="AH388" s="139">
        <v>12</v>
      </c>
      <c r="AI388" s="138">
        <v>11.5</v>
      </c>
      <c r="AJ388" s="153">
        <v>12</v>
      </c>
    </row>
    <row r="389" ht="18" customHeight="1" outlineLevel="1" spans="2:36">
      <c r="B389" s="161"/>
      <c r="C389" s="91" t="s">
        <v>189</v>
      </c>
      <c r="D389" s="92"/>
      <c r="E389" s="92"/>
      <c r="F389" s="93">
        <v>680</v>
      </c>
      <c r="G389" s="93">
        <v>680</v>
      </c>
      <c r="H389" s="94">
        <v>680</v>
      </c>
      <c r="I389" s="94">
        <v>680</v>
      </c>
      <c r="J389" s="93">
        <v>680</v>
      </c>
      <c r="K389" s="93">
        <v>680</v>
      </c>
      <c r="L389" s="93">
        <v>680</v>
      </c>
      <c r="M389" s="93">
        <v>680</v>
      </c>
      <c r="N389" s="93">
        <v>680</v>
      </c>
      <c r="O389" s="94">
        <v>680</v>
      </c>
      <c r="P389" s="94">
        <v>680</v>
      </c>
      <c r="Q389" s="94">
        <v>680</v>
      </c>
      <c r="R389" s="93">
        <v>680</v>
      </c>
      <c r="S389" s="93">
        <v>680</v>
      </c>
      <c r="T389" s="93">
        <v>680</v>
      </c>
      <c r="U389" s="93">
        <v>680</v>
      </c>
      <c r="V389" s="94">
        <v>680</v>
      </c>
      <c r="W389" s="96">
        <v>680</v>
      </c>
      <c r="X389" s="93">
        <v>660</v>
      </c>
      <c r="Y389" s="128">
        <v>660</v>
      </c>
      <c r="Z389" s="93">
        <v>660</v>
      </c>
      <c r="AA389" s="93">
        <v>660</v>
      </c>
      <c r="AB389" s="93">
        <v>660</v>
      </c>
      <c r="AC389" s="94">
        <v>660</v>
      </c>
      <c r="AD389" s="94">
        <v>660</v>
      </c>
      <c r="AE389" s="93">
        <v>680</v>
      </c>
      <c r="AF389" s="138">
        <v>535</v>
      </c>
      <c r="AG389" s="138">
        <v>535</v>
      </c>
      <c r="AH389" s="139">
        <v>500</v>
      </c>
      <c r="AI389" s="138">
        <v>680</v>
      </c>
      <c r="AJ389" s="153">
        <v>680</v>
      </c>
    </row>
    <row r="390" ht="18" customHeight="1" outlineLevel="1" spans="2:36">
      <c r="B390" s="161"/>
      <c r="C390" s="91" t="s">
        <v>190</v>
      </c>
      <c r="D390" s="92">
        <v>470000</v>
      </c>
      <c r="E390" s="92">
        <f>SUM(F390:AJ390)</f>
        <v>493595.4</v>
      </c>
      <c r="F390" s="95">
        <f>F385*F388*F389*0.65</f>
        <v>10166</v>
      </c>
      <c r="G390" s="95">
        <f>G385*G388*G389*0.85</f>
        <v>19941</v>
      </c>
      <c r="H390" s="96">
        <f>H385*H388*H389*0.65</f>
        <v>15249</v>
      </c>
      <c r="I390" s="96">
        <f>I385*I388*I389*0.75</f>
        <v>12240</v>
      </c>
      <c r="J390" s="95">
        <f>J385*J388*J389*0.79</f>
        <v>24711.2</v>
      </c>
      <c r="K390" s="95">
        <f>K385*K388*K389*0.87</f>
        <v>27213.6</v>
      </c>
      <c r="L390" s="95">
        <f>L385*L388*L389*0.92</f>
        <v>28777.6</v>
      </c>
      <c r="M390" s="95">
        <f>M385*M388*M389*0.95</f>
        <v>29716</v>
      </c>
      <c r="N390" s="95">
        <f t="shared" ref="N390:V390" si="261">N385*N388*N389</f>
        <v>31280</v>
      </c>
      <c r="O390" s="96">
        <f t="shared" si="261"/>
        <v>0</v>
      </c>
      <c r="P390" s="96">
        <f t="shared" si="261"/>
        <v>31280</v>
      </c>
      <c r="Q390" s="96">
        <f t="shared" si="261"/>
        <v>21760</v>
      </c>
      <c r="R390" s="95">
        <f t="shared" si="261"/>
        <v>31280</v>
      </c>
      <c r="S390" s="95">
        <f t="shared" si="261"/>
        <v>31280</v>
      </c>
      <c r="T390" s="95">
        <f t="shared" si="261"/>
        <v>31280</v>
      </c>
      <c r="U390" s="95">
        <f t="shared" si="261"/>
        <v>31280</v>
      </c>
      <c r="V390" s="96">
        <f t="shared" si="261"/>
        <v>15640</v>
      </c>
      <c r="W390" s="123">
        <f>W385*W388*W389*0.75</f>
        <v>4080</v>
      </c>
      <c r="X390" s="128">
        <f>X385*X388*X389</f>
        <v>0</v>
      </c>
      <c r="Y390" s="128">
        <f>Y385*Y388*Y389</f>
        <v>0</v>
      </c>
      <c r="Z390" s="128">
        <f>Z385*Z388*Z389*0.45</f>
        <v>2376</v>
      </c>
      <c r="AA390" s="128">
        <f>AA385*AA388*AA389*0.45</f>
        <v>2376</v>
      </c>
      <c r="AB390" s="128">
        <f>AB385*AB388*AB389*0.55</f>
        <v>2904</v>
      </c>
      <c r="AC390" s="96">
        <f>AC385*AC388*AC389</f>
        <v>7590</v>
      </c>
      <c r="AD390" s="96">
        <f>AD385*AD388*AD389*0.7</f>
        <v>10626</v>
      </c>
      <c r="AE390" s="95">
        <f>AE385*AE388*AE389*0.8</f>
        <v>12512</v>
      </c>
      <c r="AF390" s="139">
        <f>AF385*AF388*AF389*0.7</f>
        <v>17227</v>
      </c>
      <c r="AG390" s="95">
        <f>AG385*AG388*AG389*0.8</f>
        <v>24610</v>
      </c>
      <c r="AH390" s="139">
        <f>AH385*AH388*AH389*0.9</f>
        <v>16200</v>
      </c>
      <c r="AI390" s="139">
        <f>AI385*AI388*AI389</f>
        <v>0</v>
      </c>
      <c r="AJ390" s="154">
        <f>AJ385*AJ388*AJ389*0.65</f>
        <v>0</v>
      </c>
    </row>
    <row r="391" ht="18" customHeight="1" outlineLevel="1" spans="2:36">
      <c r="B391" s="162"/>
      <c r="C391" s="91" t="s">
        <v>191</v>
      </c>
      <c r="D391" s="92"/>
      <c r="E391" s="108">
        <f>SUM(F391:AJ391)</f>
        <v>480263</v>
      </c>
      <c r="F391" s="99">
        <v>7000</v>
      </c>
      <c r="G391" s="99">
        <v>16706</v>
      </c>
      <c r="H391" s="100">
        <v>20872</v>
      </c>
      <c r="I391" s="100">
        <v>12764</v>
      </c>
      <c r="J391" s="99">
        <v>24420</v>
      </c>
      <c r="K391" s="99">
        <v>21354</v>
      </c>
      <c r="L391" s="95">
        <v>22924</v>
      </c>
      <c r="M391" s="95">
        <v>23072</v>
      </c>
      <c r="N391" s="95">
        <v>27158</v>
      </c>
      <c r="O391" s="115"/>
      <c r="P391" s="115">
        <v>23640</v>
      </c>
      <c r="Q391" s="115">
        <v>26880</v>
      </c>
      <c r="R391" s="95">
        <v>29298</v>
      </c>
      <c r="S391" s="95">
        <v>33412</v>
      </c>
      <c r="T391" s="95">
        <v>33120</v>
      </c>
      <c r="U391" s="95">
        <v>27596</v>
      </c>
      <c r="V391" s="96">
        <v>22191</v>
      </c>
      <c r="W391" s="96">
        <v>3297</v>
      </c>
      <c r="X391" s="95"/>
      <c r="Y391" s="128"/>
      <c r="Z391" s="95">
        <v>2000</v>
      </c>
      <c r="AA391" s="95">
        <v>1794</v>
      </c>
      <c r="AB391" s="95">
        <v>1374</v>
      </c>
      <c r="AC391" s="96">
        <v>7000</v>
      </c>
      <c r="AD391" s="140">
        <v>10242</v>
      </c>
      <c r="AE391" s="95">
        <v>11326</v>
      </c>
      <c r="AF391" s="194">
        <v>21200</v>
      </c>
      <c r="AG391" s="95">
        <v>33200</v>
      </c>
      <c r="AH391" s="139">
        <v>16423</v>
      </c>
      <c r="AI391" s="139"/>
      <c r="AJ391" s="154"/>
    </row>
    <row r="392" ht="18" customHeight="1" outlineLevel="1" spans="2:36">
      <c r="B392" s="161"/>
      <c r="C392" s="91" t="s">
        <v>192</v>
      </c>
      <c r="D392" s="92"/>
      <c r="E392" s="92"/>
      <c r="F392" s="95">
        <f t="shared" ref="F392:AJ392" si="262">F391-F390</f>
        <v>-3166</v>
      </c>
      <c r="G392" s="95">
        <f t="shared" si="262"/>
        <v>-3235</v>
      </c>
      <c r="H392" s="96">
        <f t="shared" si="262"/>
        <v>5623</v>
      </c>
      <c r="I392" s="96">
        <f t="shared" si="262"/>
        <v>524</v>
      </c>
      <c r="J392" s="129">
        <f t="shared" si="262"/>
        <v>-291.200000000001</v>
      </c>
      <c r="K392" s="129">
        <f t="shared" si="262"/>
        <v>-5859.6</v>
      </c>
      <c r="L392" s="129">
        <f t="shared" si="262"/>
        <v>-5853.6</v>
      </c>
      <c r="M392" s="129">
        <f t="shared" si="262"/>
        <v>-6644</v>
      </c>
      <c r="N392" s="129">
        <v>-3496.4</v>
      </c>
      <c r="O392" s="130">
        <f t="shared" si="262"/>
        <v>0</v>
      </c>
      <c r="P392" s="130">
        <f t="shared" si="262"/>
        <v>-7640</v>
      </c>
      <c r="Q392" s="96">
        <f t="shared" si="262"/>
        <v>5120</v>
      </c>
      <c r="R392" s="95">
        <f t="shared" si="262"/>
        <v>-1982</v>
      </c>
      <c r="S392" s="95">
        <f t="shared" si="262"/>
        <v>2132</v>
      </c>
      <c r="T392" s="95">
        <f t="shared" si="262"/>
        <v>1840</v>
      </c>
      <c r="U392" s="95">
        <f t="shared" si="262"/>
        <v>-3684</v>
      </c>
      <c r="V392" s="96">
        <f t="shared" si="262"/>
        <v>6551</v>
      </c>
      <c r="W392" s="123">
        <f t="shared" si="262"/>
        <v>-783</v>
      </c>
      <c r="X392" s="128">
        <f t="shared" si="262"/>
        <v>0</v>
      </c>
      <c r="Y392" s="128">
        <f t="shared" si="262"/>
        <v>0</v>
      </c>
      <c r="Z392" s="128">
        <f t="shared" si="262"/>
        <v>-376</v>
      </c>
      <c r="AA392" s="128">
        <f t="shared" si="262"/>
        <v>-582</v>
      </c>
      <c r="AB392" s="128">
        <f t="shared" si="262"/>
        <v>-1530</v>
      </c>
      <c r="AC392" s="96">
        <f t="shared" si="262"/>
        <v>-590</v>
      </c>
      <c r="AD392" s="96">
        <f t="shared" si="262"/>
        <v>-384</v>
      </c>
      <c r="AE392" s="95">
        <f t="shared" si="262"/>
        <v>-1186</v>
      </c>
      <c r="AF392" s="139">
        <f t="shared" si="262"/>
        <v>3973</v>
      </c>
      <c r="AG392" s="95">
        <f t="shared" si="262"/>
        <v>8590</v>
      </c>
      <c r="AH392" s="139">
        <f t="shared" si="262"/>
        <v>223</v>
      </c>
      <c r="AI392" s="139">
        <f t="shared" si="262"/>
        <v>0</v>
      </c>
      <c r="AJ392" s="154">
        <f t="shared" si="262"/>
        <v>0</v>
      </c>
    </row>
    <row r="393" ht="18" customHeight="1" outlineLevel="1" spans="2:36">
      <c r="B393" s="161"/>
      <c r="C393" s="91" t="s">
        <v>193</v>
      </c>
      <c r="D393" s="92"/>
      <c r="E393" s="92"/>
      <c r="F393" s="95">
        <f t="shared" ref="F393:AJ393" si="263">E393+F391</f>
        <v>7000</v>
      </c>
      <c r="G393" s="95">
        <f t="shared" si="263"/>
        <v>23706</v>
      </c>
      <c r="H393" s="96">
        <f t="shared" si="263"/>
        <v>44578</v>
      </c>
      <c r="I393" s="96">
        <f t="shared" si="263"/>
        <v>57342</v>
      </c>
      <c r="J393" s="95">
        <f t="shared" si="263"/>
        <v>81762</v>
      </c>
      <c r="K393" s="95">
        <f t="shared" si="263"/>
        <v>103116</v>
      </c>
      <c r="L393" s="95">
        <f t="shared" si="263"/>
        <v>126040</v>
      </c>
      <c r="M393" s="95">
        <f t="shared" si="263"/>
        <v>149112</v>
      </c>
      <c r="N393" s="95">
        <v>176270</v>
      </c>
      <c r="O393" s="96">
        <f t="shared" si="263"/>
        <v>176270</v>
      </c>
      <c r="P393" s="96">
        <f t="shared" si="263"/>
        <v>199910</v>
      </c>
      <c r="Q393" s="96">
        <f t="shared" si="263"/>
        <v>226790</v>
      </c>
      <c r="R393" s="95">
        <f t="shared" si="263"/>
        <v>256088</v>
      </c>
      <c r="S393" s="95">
        <f t="shared" si="263"/>
        <v>289500</v>
      </c>
      <c r="T393" s="95">
        <f t="shared" si="263"/>
        <v>322620</v>
      </c>
      <c r="U393" s="95">
        <f t="shared" si="263"/>
        <v>350216</v>
      </c>
      <c r="V393" s="96">
        <f t="shared" si="263"/>
        <v>372407</v>
      </c>
      <c r="W393" s="123">
        <f t="shared" si="263"/>
        <v>375704</v>
      </c>
      <c r="X393" s="128">
        <f t="shared" si="263"/>
        <v>375704</v>
      </c>
      <c r="Y393" s="128">
        <f t="shared" si="263"/>
        <v>375704</v>
      </c>
      <c r="Z393" s="128">
        <f t="shared" si="263"/>
        <v>377704</v>
      </c>
      <c r="AA393" s="128">
        <f t="shared" si="263"/>
        <v>379498</v>
      </c>
      <c r="AB393" s="128">
        <f t="shared" si="263"/>
        <v>380872</v>
      </c>
      <c r="AC393" s="96">
        <f t="shared" si="263"/>
        <v>387872</v>
      </c>
      <c r="AD393" s="96">
        <f t="shared" si="263"/>
        <v>398114</v>
      </c>
      <c r="AE393" s="95">
        <f t="shared" si="263"/>
        <v>409440</v>
      </c>
      <c r="AF393" s="139">
        <f t="shared" si="263"/>
        <v>430640</v>
      </c>
      <c r="AG393" s="95">
        <f t="shared" si="263"/>
        <v>463840</v>
      </c>
      <c r="AH393" s="139">
        <f t="shared" si="263"/>
        <v>480263</v>
      </c>
      <c r="AI393" s="139">
        <f t="shared" si="263"/>
        <v>480263</v>
      </c>
      <c r="AJ393" s="154">
        <f t="shared" si="263"/>
        <v>480263</v>
      </c>
    </row>
    <row r="394" ht="18" customHeight="1" spans="2:36">
      <c r="B394" s="164"/>
      <c r="C394" s="102" t="s">
        <v>194</v>
      </c>
      <c r="D394" s="103"/>
      <c r="E394" s="103"/>
      <c r="F394" s="104">
        <f t="shared" ref="F394:AJ394" si="264">IF(F391&gt;0,F391/F390,"")</f>
        <v>0.688569742278182</v>
      </c>
      <c r="G394" s="104">
        <f t="shared" si="264"/>
        <v>0.837771425705832</v>
      </c>
      <c r="H394" s="105">
        <f t="shared" si="264"/>
        <v>1.36874549150764</v>
      </c>
      <c r="I394" s="105">
        <f t="shared" si="264"/>
        <v>1.04281045751634</v>
      </c>
      <c r="J394" s="104">
        <f t="shared" si="264"/>
        <v>0.988215869727087</v>
      </c>
      <c r="K394" s="142">
        <f t="shared" si="264"/>
        <v>0.784681188817356</v>
      </c>
      <c r="L394" s="142">
        <f t="shared" si="264"/>
        <v>0.796591793617258</v>
      </c>
      <c r="M394" s="104">
        <f t="shared" si="264"/>
        <v>0.776416745187778</v>
      </c>
      <c r="N394" s="104">
        <v>0.885941333054961</v>
      </c>
      <c r="O394" s="105" t="str">
        <f t="shared" si="264"/>
        <v/>
      </c>
      <c r="P394" s="105">
        <f t="shared" si="264"/>
        <v>0.755754475703325</v>
      </c>
      <c r="Q394" s="105">
        <f t="shared" si="264"/>
        <v>1.23529411764706</v>
      </c>
      <c r="R394" s="104">
        <f t="shared" si="264"/>
        <v>0.936636828644501</v>
      </c>
      <c r="S394" s="104">
        <f t="shared" si="264"/>
        <v>1.06815856777494</v>
      </c>
      <c r="T394" s="104">
        <f t="shared" si="264"/>
        <v>1.05882352941176</v>
      </c>
      <c r="U394" s="104">
        <f t="shared" si="264"/>
        <v>0.882225063938619</v>
      </c>
      <c r="V394" s="105">
        <f t="shared" si="264"/>
        <v>1.41886189258312</v>
      </c>
      <c r="W394" s="105">
        <f t="shared" si="264"/>
        <v>0.808088235294118</v>
      </c>
      <c r="X394" s="104" t="str">
        <f t="shared" si="264"/>
        <v/>
      </c>
      <c r="Y394" s="188" t="str">
        <f t="shared" si="264"/>
        <v/>
      </c>
      <c r="Z394" s="142">
        <f t="shared" si="264"/>
        <v>0.841750841750842</v>
      </c>
      <c r="AA394" s="104">
        <f t="shared" si="264"/>
        <v>0.755050505050505</v>
      </c>
      <c r="AB394" s="104">
        <f t="shared" si="264"/>
        <v>0.473140495867769</v>
      </c>
      <c r="AC394" s="105">
        <f t="shared" si="264"/>
        <v>0.922266139657444</v>
      </c>
      <c r="AD394" s="105">
        <f t="shared" si="264"/>
        <v>0.96386222473179</v>
      </c>
      <c r="AE394" s="104">
        <f t="shared" si="264"/>
        <v>0.905210997442455</v>
      </c>
      <c r="AF394" s="141">
        <f t="shared" si="264"/>
        <v>1.23062634236954</v>
      </c>
      <c r="AG394" s="104">
        <f t="shared" si="264"/>
        <v>1.34904510361642</v>
      </c>
      <c r="AH394" s="104">
        <f t="shared" si="264"/>
        <v>1.01376543209877</v>
      </c>
      <c r="AI394" s="141" t="str">
        <f t="shared" si="264"/>
        <v/>
      </c>
      <c r="AJ394" s="195" t="str">
        <f t="shared" si="264"/>
        <v/>
      </c>
    </row>
    <row r="395" ht="18" customHeight="1" outlineLevel="1" spans="2:36">
      <c r="B395" s="160" t="s">
        <v>212</v>
      </c>
      <c r="C395" s="86" t="s">
        <v>185</v>
      </c>
      <c r="D395" s="87"/>
      <c r="E395" s="87"/>
      <c r="F395" s="88"/>
      <c r="G395" s="88">
        <v>0.5</v>
      </c>
      <c r="H395" s="89">
        <v>1</v>
      </c>
      <c r="I395" s="89"/>
      <c r="J395" s="144">
        <v>1</v>
      </c>
      <c r="K395" s="144">
        <v>1</v>
      </c>
      <c r="L395" s="144"/>
      <c r="M395" s="144"/>
      <c r="N395" s="144"/>
      <c r="O395" s="143"/>
      <c r="P395" s="143"/>
      <c r="Q395" s="143"/>
      <c r="R395" s="144"/>
      <c r="S395" s="144"/>
      <c r="T395" s="144"/>
      <c r="U395" s="144"/>
      <c r="V395" s="89"/>
      <c r="W395" s="126">
        <v>1</v>
      </c>
      <c r="X395" s="127">
        <v>3</v>
      </c>
      <c r="Y395" s="127">
        <v>3</v>
      </c>
      <c r="Z395" s="127">
        <v>3</v>
      </c>
      <c r="AA395" s="127">
        <v>3</v>
      </c>
      <c r="AB395" s="127">
        <v>3</v>
      </c>
      <c r="AC395" s="89">
        <v>3</v>
      </c>
      <c r="AD395" s="89">
        <v>3</v>
      </c>
      <c r="AE395" s="88">
        <v>1</v>
      </c>
      <c r="AF395" s="137"/>
      <c r="AG395" s="88"/>
      <c r="AH395" s="157"/>
      <c r="AI395" s="137"/>
      <c r="AJ395" s="152"/>
    </row>
    <row r="396" ht="18" customHeight="1" outlineLevel="1" spans="2:36">
      <c r="B396" s="161"/>
      <c r="C396" s="91" t="s">
        <v>186</v>
      </c>
      <c r="D396" s="92"/>
      <c r="E396" s="92"/>
      <c r="F396" s="93">
        <v>46</v>
      </c>
      <c r="G396" s="93">
        <v>26</v>
      </c>
      <c r="H396" s="94">
        <v>26</v>
      </c>
      <c r="I396" s="94">
        <v>26</v>
      </c>
      <c r="J396" s="93">
        <v>26</v>
      </c>
      <c r="K396" s="93">
        <v>26</v>
      </c>
      <c r="L396" s="93">
        <v>26</v>
      </c>
      <c r="M396" s="93">
        <v>26</v>
      </c>
      <c r="N396" s="93">
        <v>26</v>
      </c>
      <c r="O396" s="94">
        <v>26</v>
      </c>
      <c r="P396" s="94">
        <v>26</v>
      </c>
      <c r="Q396" s="94">
        <v>26</v>
      </c>
      <c r="R396" s="93">
        <v>26</v>
      </c>
      <c r="S396" s="93">
        <v>26</v>
      </c>
      <c r="T396" s="93">
        <v>26</v>
      </c>
      <c r="U396" s="93">
        <v>26</v>
      </c>
      <c r="V396" s="94">
        <v>26</v>
      </c>
      <c r="W396" s="123">
        <v>26</v>
      </c>
      <c r="X396" s="128">
        <v>27</v>
      </c>
      <c r="Y396" s="128">
        <v>27</v>
      </c>
      <c r="Z396" s="128">
        <v>26</v>
      </c>
      <c r="AA396" s="128">
        <v>26</v>
      </c>
      <c r="AB396" s="128">
        <v>26</v>
      </c>
      <c r="AC396" s="94">
        <v>26</v>
      </c>
      <c r="AD396" s="94">
        <v>26</v>
      </c>
      <c r="AE396" s="93">
        <v>26</v>
      </c>
      <c r="AF396" s="138">
        <v>26</v>
      </c>
      <c r="AG396" s="93">
        <v>26</v>
      </c>
      <c r="AH396" s="139">
        <v>26</v>
      </c>
      <c r="AI396" s="138">
        <v>26</v>
      </c>
      <c r="AJ396" s="153">
        <v>26</v>
      </c>
    </row>
    <row r="397" ht="18" customHeight="1" outlineLevel="1" spans="2:36">
      <c r="B397" s="161"/>
      <c r="C397" s="91" t="s">
        <v>187</v>
      </c>
      <c r="D397" s="92"/>
      <c r="E397" s="92"/>
      <c r="F397" s="93">
        <f t="shared" ref="F397:AJ397" si="265">F395*F396</f>
        <v>0</v>
      </c>
      <c r="G397" s="93">
        <f t="shared" si="265"/>
        <v>13</v>
      </c>
      <c r="H397" s="94">
        <f t="shared" si="265"/>
        <v>26</v>
      </c>
      <c r="I397" s="94">
        <f t="shared" si="265"/>
        <v>0</v>
      </c>
      <c r="J397" s="93">
        <f t="shared" si="265"/>
        <v>26</v>
      </c>
      <c r="K397" s="93">
        <f t="shared" si="265"/>
        <v>26</v>
      </c>
      <c r="L397" s="93">
        <f t="shared" si="265"/>
        <v>0</v>
      </c>
      <c r="M397" s="93">
        <f t="shared" si="265"/>
        <v>0</v>
      </c>
      <c r="N397" s="93">
        <v>0</v>
      </c>
      <c r="O397" s="94">
        <f t="shared" si="265"/>
        <v>0</v>
      </c>
      <c r="P397" s="94">
        <f t="shared" si="265"/>
        <v>0</v>
      </c>
      <c r="Q397" s="94">
        <f t="shared" si="265"/>
        <v>0</v>
      </c>
      <c r="R397" s="93">
        <f t="shared" si="265"/>
        <v>0</v>
      </c>
      <c r="S397" s="93">
        <f t="shared" si="265"/>
        <v>0</v>
      </c>
      <c r="T397" s="93">
        <f t="shared" si="265"/>
        <v>0</v>
      </c>
      <c r="U397" s="93">
        <f t="shared" si="265"/>
        <v>0</v>
      </c>
      <c r="V397" s="94">
        <f t="shared" si="265"/>
        <v>0</v>
      </c>
      <c r="W397" s="96">
        <f t="shared" si="265"/>
        <v>26</v>
      </c>
      <c r="X397" s="93">
        <f t="shared" si="265"/>
        <v>81</v>
      </c>
      <c r="Y397" s="93">
        <f t="shared" si="265"/>
        <v>81</v>
      </c>
      <c r="Z397" s="93">
        <f t="shared" si="265"/>
        <v>78</v>
      </c>
      <c r="AA397" s="93">
        <f t="shared" si="265"/>
        <v>78</v>
      </c>
      <c r="AB397" s="93">
        <f t="shared" si="265"/>
        <v>78</v>
      </c>
      <c r="AC397" s="94">
        <f t="shared" si="265"/>
        <v>78</v>
      </c>
      <c r="AD397" s="94">
        <f t="shared" si="265"/>
        <v>78</v>
      </c>
      <c r="AE397" s="93">
        <f t="shared" si="265"/>
        <v>26</v>
      </c>
      <c r="AF397" s="138">
        <f t="shared" si="265"/>
        <v>0</v>
      </c>
      <c r="AG397" s="93">
        <f t="shared" si="265"/>
        <v>0</v>
      </c>
      <c r="AH397" s="139">
        <f t="shared" si="265"/>
        <v>0</v>
      </c>
      <c r="AI397" s="138">
        <f t="shared" si="265"/>
        <v>0</v>
      </c>
      <c r="AJ397" s="153">
        <f t="shared" si="265"/>
        <v>0</v>
      </c>
    </row>
    <row r="398" ht="18" customHeight="1" outlineLevel="1" spans="2:36">
      <c r="B398" s="161"/>
      <c r="C398" s="91" t="s">
        <v>188</v>
      </c>
      <c r="D398" s="92"/>
      <c r="E398" s="92"/>
      <c r="F398" s="93">
        <v>11.5</v>
      </c>
      <c r="G398" s="93">
        <v>8</v>
      </c>
      <c r="H398" s="94">
        <v>2</v>
      </c>
      <c r="I398" s="94">
        <v>2</v>
      </c>
      <c r="J398" s="93">
        <v>2</v>
      </c>
      <c r="K398" s="93">
        <v>1</v>
      </c>
      <c r="L398" s="93">
        <v>11.5</v>
      </c>
      <c r="M398" s="93">
        <v>11.5</v>
      </c>
      <c r="N398" s="93">
        <v>11.5</v>
      </c>
      <c r="O398" s="94">
        <v>11.5</v>
      </c>
      <c r="P398" s="94">
        <v>8</v>
      </c>
      <c r="Q398" s="94">
        <v>11.5</v>
      </c>
      <c r="R398" s="93">
        <v>11.5</v>
      </c>
      <c r="S398" s="93">
        <v>11.5</v>
      </c>
      <c r="T398" s="93">
        <v>11.5</v>
      </c>
      <c r="U398" s="93">
        <v>11.5</v>
      </c>
      <c r="V398" s="94">
        <v>11.5</v>
      </c>
      <c r="W398" s="96">
        <v>1</v>
      </c>
      <c r="X398" s="93">
        <v>12</v>
      </c>
      <c r="Y398" s="128">
        <v>12</v>
      </c>
      <c r="Z398" s="93">
        <v>12</v>
      </c>
      <c r="AA398" s="93">
        <v>12</v>
      </c>
      <c r="AB398" s="93">
        <v>12</v>
      </c>
      <c r="AC398" s="94">
        <v>11.5</v>
      </c>
      <c r="AD398" s="94">
        <v>11.5</v>
      </c>
      <c r="AE398" s="93">
        <v>11.5</v>
      </c>
      <c r="AF398" s="93">
        <v>11.5</v>
      </c>
      <c r="AG398" s="93">
        <v>8</v>
      </c>
      <c r="AH398" s="139">
        <v>11.5</v>
      </c>
      <c r="AI398" s="138">
        <v>11.5</v>
      </c>
      <c r="AJ398" s="153">
        <v>11.5</v>
      </c>
    </row>
    <row r="399" ht="18" customHeight="1" outlineLevel="1" spans="2:36">
      <c r="B399" s="161"/>
      <c r="C399" s="91" t="s">
        <v>189</v>
      </c>
      <c r="D399" s="92"/>
      <c r="E399" s="92"/>
      <c r="F399" s="93">
        <v>650</v>
      </c>
      <c r="G399" s="93">
        <v>650</v>
      </c>
      <c r="H399" s="94">
        <v>650</v>
      </c>
      <c r="I399" s="94">
        <v>650</v>
      </c>
      <c r="J399" s="93">
        <v>650</v>
      </c>
      <c r="K399" s="93">
        <v>650</v>
      </c>
      <c r="L399" s="93">
        <v>650</v>
      </c>
      <c r="M399" s="93">
        <v>650</v>
      </c>
      <c r="N399" s="93">
        <v>650</v>
      </c>
      <c r="O399" s="94">
        <v>650</v>
      </c>
      <c r="P399" s="94">
        <v>650</v>
      </c>
      <c r="Q399" s="94">
        <v>650</v>
      </c>
      <c r="R399" s="93">
        <v>650</v>
      </c>
      <c r="S399" s="93">
        <v>650</v>
      </c>
      <c r="T399" s="93">
        <v>650</v>
      </c>
      <c r="U399" s="93">
        <v>650</v>
      </c>
      <c r="V399" s="94">
        <v>650</v>
      </c>
      <c r="W399" s="96">
        <v>650</v>
      </c>
      <c r="X399" s="93">
        <v>700</v>
      </c>
      <c r="Y399" s="93">
        <v>700</v>
      </c>
      <c r="Z399" s="93">
        <v>700</v>
      </c>
      <c r="AA399" s="93">
        <v>700</v>
      </c>
      <c r="AB399" s="93">
        <v>700</v>
      </c>
      <c r="AC399" s="94">
        <v>700</v>
      </c>
      <c r="AD399" s="96">
        <v>700</v>
      </c>
      <c r="AE399" s="93">
        <v>700</v>
      </c>
      <c r="AF399" s="93">
        <v>700</v>
      </c>
      <c r="AG399" s="93">
        <v>700</v>
      </c>
      <c r="AH399" s="93">
        <v>700</v>
      </c>
      <c r="AI399" s="93">
        <v>700</v>
      </c>
      <c r="AJ399" s="94">
        <v>650</v>
      </c>
    </row>
    <row r="400" ht="18" customHeight="1" outlineLevel="1" spans="2:36">
      <c r="B400" s="161"/>
      <c r="C400" s="91" t="s">
        <v>190</v>
      </c>
      <c r="D400" s="92">
        <v>170000</v>
      </c>
      <c r="E400" s="92">
        <f>SUM(F400:AI400)</f>
        <v>153500</v>
      </c>
      <c r="F400" s="95">
        <f t="shared" ref="F400:U400" si="266">F395*F398*F399</f>
        <v>0</v>
      </c>
      <c r="G400" s="95">
        <f t="shared" si="266"/>
        <v>2600</v>
      </c>
      <c r="H400" s="96">
        <f t="shared" si="266"/>
        <v>1300</v>
      </c>
      <c r="I400" s="96">
        <f t="shared" si="266"/>
        <v>0</v>
      </c>
      <c r="J400" s="95">
        <f t="shared" si="266"/>
        <v>1300</v>
      </c>
      <c r="K400" s="95">
        <f t="shared" si="266"/>
        <v>650</v>
      </c>
      <c r="L400" s="95">
        <f t="shared" si="266"/>
        <v>0</v>
      </c>
      <c r="M400" s="95">
        <f t="shared" si="266"/>
        <v>0</v>
      </c>
      <c r="N400" s="95">
        <v>0</v>
      </c>
      <c r="O400" s="96">
        <f t="shared" si="266"/>
        <v>0</v>
      </c>
      <c r="P400" s="96">
        <f t="shared" si="266"/>
        <v>0</v>
      </c>
      <c r="Q400" s="96">
        <f t="shared" si="266"/>
        <v>0</v>
      </c>
      <c r="R400" s="95">
        <f t="shared" si="266"/>
        <v>0</v>
      </c>
      <c r="S400" s="95">
        <f t="shared" si="266"/>
        <v>0</v>
      </c>
      <c r="T400" s="95">
        <f t="shared" si="266"/>
        <v>0</v>
      </c>
      <c r="U400" s="95">
        <f t="shared" si="266"/>
        <v>0</v>
      </c>
      <c r="V400" s="96">
        <f>V395*V398*V399*0.75</f>
        <v>0</v>
      </c>
      <c r="W400" s="123">
        <f>W395*W398*W399*0.65</f>
        <v>422.5</v>
      </c>
      <c r="X400" s="128">
        <f>X395*X398*X399*0.65</f>
        <v>16380</v>
      </c>
      <c r="Y400" s="128">
        <f>Y395*Y398*Y399*0.7</f>
        <v>17640</v>
      </c>
      <c r="Z400" s="128">
        <f>Z395*Z398*Z399*0.75</f>
        <v>18900</v>
      </c>
      <c r="AA400" s="128">
        <f>AA395*AA398*AA399*0.8</f>
        <v>20160</v>
      </c>
      <c r="AB400" s="128">
        <f>AB395*AB398*AB399*0.85</f>
        <v>21420</v>
      </c>
      <c r="AC400" s="96">
        <f>AC395*AC398*AC399*0.9</f>
        <v>21735</v>
      </c>
      <c r="AD400" s="96">
        <f>AD395*AD398*AD399*0.95</f>
        <v>22942.5</v>
      </c>
      <c r="AE400" s="95">
        <f t="shared" ref="AE400:AJ400" si="267">AE395*AE398*AE399</f>
        <v>8050</v>
      </c>
      <c r="AF400" s="139">
        <f t="shared" si="267"/>
        <v>0</v>
      </c>
      <c r="AG400" s="95">
        <f t="shared" si="267"/>
        <v>0</v>
      </c>
      <c r="AH400" s="139">
        <f t="shared" si="267"/>
        <v>0</v>
      </c>
      <c r="AI400" s="139">
        <f t="shared" si="267"/>
        <v>0</v>
      </c>
      <c r="AJ400" s="154">
        <f t="shared" si="267"/>
        <v>0</v>
      </c>
    </row>
    <row r="401" ht="18" customHeight="1" outlineLevel="1" spans="2:36">
      <c r="B401" s="162"/>
      <c r="C401" s="91" t="s">
        <v>191</v>
      </c>
      <c r="D401" s="92"/>
      <c r="E401" s="108">
        <f>SUM(F401:AJ401)</f>
        <v>183927</v>
      </c>
      <c r="F401" s="196"/>
      <c r="G401" s="95">
        <v>1640</v>
      </c>
      <c r="H401" s="96">
        <v>1015</v>
      </c>
      <c r="I401" s="96"/>
      <c r="J401" s="95">
        <v>1000</v>
      </c>
      <c r="K401" s="95">
        <v>500</v>
      </c>
      <c r="L401" s="95"/>
      <c r="M401" s="95"/>
      <c r="N401" s="95"/>
      <c r="O401" s="115"/>
      <c r="P401" s="115"/>
      <c r="Q401" s="115"/>
      <c r="R401" s="95"/>
      <c r="S401" s="95"/>
      <c r="T401" s="95"/>
      <c r="U401" s="95"/>
      <c r="V401" s="96"/>
      <c r="W401" s="96">
        <v>200</v>
      </c>
      <c r="X401" s="95">
        <v>15992</v>
      </c>
      <c r="Y401" s="128">
        <v>21755</v>
      </c>
      <c r="Z401" s="95">
        <v>22840</v>
      </c>
      <c r="AA401" s="95">
        <v>23900</v>
      </c>
      <c r="AB401" s="95">
        <v>30690</v>
      </c>
      <c r="AC401" s="96">
        <v>28160</v>
      </c>
      <c r="AD401" s="140">
        <v>23520</v>
      </c>
      <c r="AE401" s="95">
        <v>10334</v>
      </c>
      <c r="AF401" s="194">
        <v>495</v>
      </c>
      <c r="AG401" s="95">
        <v>1704</v>
      </c>
      <c r="AH401" s="139"/>
      <c r="AI401" s="139">
        <v>182</v>
      </c>
      <c r="AJ401" s="154"/>
    </row>
    <row r="402" ht="18" customHeight="1" outlineLevel="1" spans="2:36">
      <c r="B402" s="161"/>
      <c r="C402" s="91" t="s">
        <v>192</v>
      </c>
      <c r="D402" s="92"/>
      <c r="E402" s="92"/>
      <c r="F402" s="95">
        <f t="shared" ref="F402:AJ402" si="268">F401-F400</f>
        <v>0</v>
      </c>
      <c r="G402" s="95">
        <f t="shared" si="268"/>
        <v>-960</v>
      </c>
      <c r="H402" s="96">
        <f t="shared" si="268"/>
        <v>-285</v>
      </c>
      <c r="I402" s="96">
        <f t="shared" si="268"/>
        <v>0</v>
      </c>
      <c r="J402" s="95">
        <f t="shared" si="268"/>
        <v>-300</v>
      </c>
      <c r="K402" s="95">
        <f t="shared" si="268"/>
        <v>-150</v>
      </c>
      <c r="L402" s="95">
        <f t="shared" si="268"/>
        <v>0</v>
      </c>
      <c r="M402" s="95">
        <f t="shared" si="268"/>
        <v>0</v>
      </c>
      <c r="N402" s="95">
        <v>0</v>
      </c>
      <c r="O402" s="96">
        <f t="shared" si="268"/>
        <v>0</v>
      </c>
      <c r="P402" s="96">
        <f t="shared" si="268"/>
        <v>0</v>
      </c>
      <c r="Q402" s="96">
        <f t="shared" si="268"/>
        <v>0</v>
      </c>
      <c r="R402" s="95">
        <f t="shared" si="268"/>
        <v>0</v>
      </c>
      <c r="S402" s="95">
        <f t="shared" si="268"/>
        <v>0</v>
      </c>
      <c r="T402" s="95">
        <f t="shared" si="268"/>
        <v>0</v>
      </c>
      <c r="U402" s="95">
        <f t="shared" si="268"/>
        <v>0</v>
      </c>
      <c r="V402" s="96">
        <f t="shared" si="268"/>
        <v>0</v>
      </c>
      <c r="W402" s="123">
        <f t="shared" si="268"/>
        <v>-222.5</v>
      </c>
      <c r="X402" s="128">
        <f t="shared" si="268"/>
        <v>-388</v>
      </c>
      <c r="Y402" s="128">
        <f t="shared" si="268"/>
        <v>4115</v>
      </c>
      <c r="Z402" s="128">
        <f t="shared" si="268"/>
        <v>3940</v>
      </c>
      <c r="AA402" s="128">
        <f t="shared" si="268"/>
        <v>3740</v>
      </c>
      <c r="AB402" s="128">
        <f t="shared" si="268"/>
        <v>9270</v>
      </c>
      <c r="AC402" s="96">
        <f t="shared" si="268"/>
        <v>6425</v>
      </c>
      <c r="AD402" s="96">
        <f t="shared" si="268"/>
        <v>577.5</v>
      </c>
      <c r="AE402" s="95">
        <f t="shared" si="268"/>
        <v>2284</v>
      </c>
      <c r="AF402" s="139">
        <f t="shared" si="268"/>
        <v>495</v>
      </c>
      <c r="AG402" s="95">
        <f t="shared" si="268"/>
        <v>1704</v>
      </c>
      <c r="AH402" s="139">
        <f t="shared" si="268"/>
        <v>0</v>
      </c>
      <c r="AI402" s="139">
        <f t="shared" si="268"/>
        <v>182</v>
      </c>
      <c r="AJ402" s="154">
        <f t="shared" si="268"/>
        <v>0</v>
      </c>
    </row>
    <row r="403" ht="18" customHeight="1" outlineLevel="1" spans="2:36">
      <c r="B403" s="161"/>
      <c r="C403" s="91" t="s">
        <v>193</v>
      </c>
      <c r="D403" s="92"/>
      <c r="E403" s="92"/>
      <c r="F403" s="95">
        <f t="shared" ref="F403:AJ403" si="269">E403+F401</f>
        <v>0</v>
      </c>
      <c r="G403" s="95">
        <f t="shared" si="269"/>
        <v>1640</v>
      </c>
      <c r="H403" s="96">
        <f t="shared" si="269"/>
        <v>2655</v>
      </c>
      <c r="I403" s="96">
        <f t="shared" si="269"/>
        <v>2655</v>
      </c>
      <c r="J403" s="95">
        <f t="shared" si="269"/>
        <v>3655</v>
      </c>
      <c r="K403" s="95">
        <f t="shared" si="269"/>
        <v>4155</v>
      </c>
      <c r="L403" s="95">
        <f t="shared" si="269"/>
        <v>4155</v>
      </c>
      <c r="M403" s="95">
        <f t="shared" si="269"/>
        <v>4155</v>
      </c>
      <c r="N403" s="95">
        <v>4155</v>
      </c>
      <c r="O403" s="96">
        <f t="shared" si="269"/>
        <v>4155</v>
      </c>
      <c r="P403" s="96">
        <f t="shared" si="269"/>
        <v>4155</v>
      </c>
      <c r="Q403" s="96">
        <f t="shared" si="269"/>
        <v>4155</v>
      </c>
      <c r="R403" s="95">
        <f t="shared" si="269"/>
        <v>4155</v>
      </c>
      <c r="S403" s="95">
        <f t="shared" si="269"/>
        <v>4155</v>
      </c>
      <c r="T403" s="95">
        <f t="shared" si="269"/>
        <v>4155</v>
      </c>
      <c r="U403" s="95">
        <f t="shared" si="269"/>
        <v>4155</v>
      </c>
      <c r="V403" s="96">
        <f t="shared" si="269"/>
        <v>4155</v>
      </c>
      <c r="W403" s="123">
        <f t="shared" si="269"/>
        <v>4355</v>
      </c>
      <c r="X403" s="128">
        <f t="shared" si="269"/>
        <v>20347</v>
      </c>
      <c r="Y403" s="128">
        <f t="shared" si="269"/>
        <v>42102</v>
      </c>
      <c r="Z403" s="128">
        <f t="shared" si="269"/>
        <v>64942</v>
      </c>
      <c r="AA403" s="128">
        <f t="shared" si="269"/>
        <v>88842</v>
      </c>
      <c r="AB403" s="128">
        <f t="shared" si="269"/>
        <v>119532</v>
      </c>
      <c r="AC403" s="96">
        <f t="shared" si="269"/>
        <v>147692</v>
      </c>
      <c r="AD403" s="96">
        <f t="shared" si="269"/>
        <v>171212</v>
      </c>
      <c r="AE403" s="95">
        <f t="shared" si="269"/>
        <v>181546</v>
      </c>
      <c r="AF403" s="139">
        <f t="shared" si="269"/>
        <v>182041</v>
      </c>
      <c r="AG403" s="95">
        <f t="shared" si="269"/>
        <v>183745</v>
      </c>
      <c r="AH403" s="139">
        <f t="shared" si="269"/>
        <v>183745</v>
      </c>
      <c r="AI403" s="139">
        <f t="shared" si="269"/>
        <v>183927</v>
      </c>
      <c r="AJ403" s="154">
        <f t="shared" si="269"/>
        <v>183927</v>
      </c>
    </row>
    <row r="404" ht="18" customHeight="1" spans="2:36">
      <c r="B404" s="164"/>
      <c r="C404" s="102" t="s">
        <v>194</v>
      </c>
      <c r="D404" s="103"/>
      <c r="E404" s="103"/>
      <c r="F404" s="104" t="str">
        <f t="shared" ref="F404:AJ404" si="270">IF(F401&gt;0,F401/F400,"")</f>
        <v/>
      </c>
      <c r="G404" s="104">
        <f t="shared" si="270"/>
        <v>0.630769230769231</v>
      </c>
      <c r="H404" s="105">
        <f t="shared" si="270"/>
        <v>0.780769230769231</v>
      </c>
      <c r="I404" s="105" t="str">
        <f t="shared" si="270"/>
        <v/>
      </c>
      <c r="J404" s="104">
        <f t="shared" si="270"/>
        <v>0.769230769230769</v>
      </c>
      <c r="K404" s="104">
        <f t="shared" si="270"/>
        <v>0.769230769230769</v>
      </c>
      <c r="L404" s="104" t="str">
        <f t="shared" si="270"/>
        <v/>
      </c>
      <c r="M404" s="104" t="str">
        <f t="shared" si="270"/>
        <v/>
      </c>
      <c r="N404" s="104" t="s">
        <v>195</v>
      </c>
      <c r="O404" s="105" t="str">
        <f t="shared" si="270"/>
        <v/>
      </c>
      <c r="P404" s="105" t="str">
        <f t="shared" si="270"/>
        <v/>
      </c>
      <c r="Q404" s="105" t="str">
        <f t="shared" si="270"/>
        <v/>
      </c>
      <c r="R404" s="104" t="str">
        <f t="shared" si="270"/>
        <v/>
      </c>
      <c r="S404" s="104" t="str">
        <f t="shared" si="270"/>
        <v/>
      </c>
      <c r="T404" s="104" t="str">
        <f t="shared" si="270"/>
        <v/>
      </c>
      <c r="U404" s="104" t="str">
        <f t="shared" si="270"/>
        <v/>
      </c>
      <c r="V404" s="105" t="str">
        <f t="shared" si="270"/>
        <v/>
      </c>
      <c r="W404" s="105">
        <f t="shared" si="270"/>
        <v>0.473372781065089</v>
      </c>
      <c r="X404" s="104">
        <f t="shared" si="270"/>
        <v>0.976312576312576</v>
      </c>
      <c r="Y404" s="104">
        <f t="shared" si="270"/>
        <v>1.23327664399093</v>
      </c>
      <c r="Z404" s="142">
        <f t="shared" si="270"/>
        <v>1.20846560846561</v>
      </c>
      <c r="AA404" s="104">
        <f t="shared" si="270"/>
        <v>1.18551587301587</v>
      </c>
      <c r="AB404" s="104">
        <f t="shared" si="270"/>
        <v>1.4327731092437</v>
      </c>
      <c r="AC404" s="105">
        <f t="shared" si="270"/>
        <v>1.29560616517138</v>
      </c>
      <c r="AD404" s="105">
        <f t="shared" si="270"/>
        <v>1.02517162471396</v>
      </c>
      <c r="AE404" s="104">
        <f t="shared" si="270"/>
        <v>1.28372670807453</v>
      </c>
      <c r="AF404" s="141" t="e">
        <f t="shared" si="270"/>
        <v>#DIV/0!</v>
      </c>
      <c r="AG404" s="104" t="e">
        <f t="shared" si="270"/>
        <v>#DIV/0!</v>
      </c>
      <c r="AH404" s="155" t="str">
        <f t="shared" si="270"/>
        <v/>
      </c>
      <c r="AI404" s="141" t="e">
        <f t="shared" si="270"/>
        <v>#DIV/0!</v>
      </c>
      <c r="AJ404" s="195" t="str">
        <f t="shared" si="270"/>
        <v/>
      </c>
    </row>
    <row r="405" ht="17.4" customHeight="1" outlineLevel="1" spans="2:36">
      <c r="B405" s="107" t="s">
        <v>213</v>
      </c>
      <c r="C405" s="197"/>
      <c r="D405" s="198"/>
      <c r="E405" s="199">
        <f>SUM(F405:AG405)</f>
        <v>0</v>
      </c>
      <c r="F405" s="200"/>
      <c r="G405" s="200"/>
      <c r="H405" s="201"/>
      <c r="I405" s="201"/>
      <c r="J405" s="200"/>
      <c r="K405" s="200"/>
      <c r="L405" s="200"/>
      <c r="M405" s="200"/>
      <c r="N405" s="200"/>
      <c r="O405" s="201"/>
      <c r="P405" s="201"/>
      <c r="Q405" s="201"/>
      <c r="R405" s="200"/>
      <c r="S405" s="200"/>
      <c r="T405" s="200"/>
      <c r="U405" s="200"/>
      <c r="V405" s="201"/>
      <c r="W405" s="228"/>
      <c r="X405" s="229"/>
      <c r="Y405" s="229"/>
      <c r="Z405" s="229"/>
      <c r="AA405" s="229"/>
      <c r="AB405" s="229"/>
      <c r="AC405" s="201"/>
      <c r="AD405" s="232"/>
      <c r="AE405" s="200"/>
      <c r="AF405" s="233"/>
      <c r="AG405" s="200"/>
      <c r="AH405" s="235"/>
      <c r="AI405" s="236"/>
      <c r="AJ405" s="237"/>
    </row>
    <row r="406" ht="17.4" customHeight="1" outlineLevel="1" spans="2:36">
      <c r="B406" s="202"/>
      <c r="C406" s="203" t="s">
        <v>214</v>
      </c>
      <c r="D406" s="204"/>
      <c r="E406" s="204"/>
      <c r="F406" s="205">
        <f>+F5+F15+F25+F45+F55+F65+F75+F85+F95+F145+F185+F205+F215+F105+F115+F175+F275+F285+F315+F325+F335+F375+F385+F395+F125+F135+F255+F265+F295+F355+F365+F305+F245+F235+F225+F155+F195+F35</f>
        <v>13</v>
      </c>
      <c r="G406" s="205">
        <f t="shared" ref="G406:AJ406" si="271">+G5+G15+G25+G45+G55+G65+G75+G85+G95+G145+G185+G205+G215+G105+G115+G175+G275+G285+G315+G325+G335+G375+G385+G395+G125+G135+G255+G265+G295+G355+G365+G305+G245+G235+G225+G155+G195+G35</f>
        <v>15.5</v>
      </c>
      <c r="H406" s="206">
        <f t="shared" si="271"/>
        <v>18</v>
      </c>
      <c r="I406" s="206">
        <f t="shared" si="271"/>
        <v>15</v>
      </c>
      <c r="J406" s="205">
        <f t="shared" si="271"/>
        <v>19</v>
      </c>
      <c r="K406" s="205">
        <f t="shared" si="271"/>
        <v>19</v>
      </c>
      <c r="L406" s="205">
        <f t="shared" si="271"/>
        <v>19</v>
      </c>
      <c r="M406" s="205">
        <f t="shared" si="271"/>
        <v>21.15</v>
      </c>
      <c r="N406" s="205">
        <f t="shared" si="271"/>
        <v>19.5</v>
      </c>
      <c r="O406" s="206">
        <f t="shared" si="271"/>
        <v>0</v>
      </c>
      <c r="P406" s="206">
        <f t="shared" si="271"/>
        <v>20</v>
      </c>
      <c r="Q406" s="206">
        <f t="shared" si="271"/>
        <v>20.15</v>
      </c>
      <c r="R406" s="230">
        <f t="shared" si="271"/>
        <v>20.3</v>
      </c>
      <c r="S406" s="230">
        <f t="shared" si="271"/>
        <v>20.3</v>
      </c>
      <c r="T406" s="230">
        <f t="shared" si="271"/>
        <v>19.3</v>
      </c>
      <c r="U406" s="205">
        <f t="shared" si="271"/>
        <v>17.26</v>
      </c>
      <c r="V406" s="206">
        <f t="shared" si="271"/>
        <v>15.3</v>
      </c>
      <c r="W406" s="206">
        <f t="shared" si="271"/>
        <v>11.3</v>
      </c>
      <c r="X406" s="205">
        <f t="shared" si="271"/>
        <v>22</v>
      </c>
      <c r="Y406" s="205">
        <f t="shared" si="271"/>
        <v>19</v>
      </c>
      <c r="Z406" s="205">
        <f t="shared" si="271"/>
        <v>22</v>
      </c>
      <c r="AA406" s="205">
        <f t="shared" si="271"/>
        <v>20</v>
      </c>
      <c r="AB406" s="205">
        <f t="shared" si="271"/>
        <v>20</v>
      </c>
      <c r="AC406" s="206">
        <f t="shared" si="271"/>
        <v>19</v>
      </c>
      <c r="AD406" s="206">
        <f t="shared" si="271"/>
        <v>19</v>
      </c>
      <c r="AE406" s="205">
        <f t="shared" si="271"/>
        <v>19</v>
      </c>
      <c r="AF406" s="205">
        <f t="shared" si="271"/>
        <v>21</v>
      </c>
      <c r="AG406" s="205">
        <f t="shared" si="271"/>
        <v>19</v>
      </c>
      <c r="AH406" s="205">
        <f t="shared" si="271"/>
        <v>15</v>
      </c>
      <c r="AI406" s="205">
        <f t="shared" si="271"/>
        <v>6</v>
      </c>
      <c r="AJ406" s="206">
        <f t="shared" si="271"/>
        <v>0</v>
      </c>
    </row>
    <row r="407" ht="17.4" customHeight="1" outlineLevel="1" spans="2:36">
      <c r="B407" s="207"/>
      <c r="C407" s="208" t="s">
        <v>215</v>
      </c>
      <c r="D407" s="209"/>
      <c r="E407" s="209"/>
      <c r="F407" s="210">
        <f t="shared" ref="F407:AJ407" si="272">+F7+F17+F27+F47+F57+F67+F77+F87+F97+F147+F187+F207+F217+F107+F117+F127+F137+F177+F257+F267+F277+F287+F297+F317+F327+F337+F357+F367+F377+F387+F397</f>
        <v>507</v>
      </c>
      <c r="G407" s="210">
        <f t="shared" si="272"/>
        <v>596</v>
      </c>
      <c r="H407" s="211">
        <f t="shared" si="272"/>
        <v>607</v>
      </c>
      <c r="I407" s="211">
        <f t="shared" si="272"/>
        <v>502</v>
      </c>
      <c r="J407" s="210">
        <f t="shared" si="272"/>
        <v>578</v>
      </c>
      <c r="K407" s="210">
        <f t="shared" si="272"/>
        <v>677</v>
      </c>
      <c r="L407" s="210">
        <f t="shared" si="272"/>
        <v>696</v>
      </c>
      <c r="M407" s="210">
        <f t="shared" si="272"/>
        <v>745.15</v>
      </c>
      <c r="N407" s="210">
        <f t="shared" si="272"/>
        <v>726</v>
      </c>
      <c r="O407" s="211">
        <f t="shared" si="272"/>
        <v>0</v>
      </c>
      <c r="P407" s="211">
        <f t="shared" si="272"/>
        <v>690</v>
      </c>
      <c r="Q407" s="211">
        <f t="shared" si="272"/>
        <v>751.15</v>
      </c>
      <c r="R407" s="210">
        <f t="shared" si="272"/>
        <v>803.5</v>
      </c>
      <c r="S407" s="210">
        <f t="shared" si="272"/>
        <v>814</v>
      </c>
      <c r="T407" s="210">
        <f t="shared" si="272"/>
        <v>767</v>
      </c>
      <c r="U407" s="210">
        <f t="shared" si="272"/>
        <v>685.8</v>
      </c>
      <c r="V407" s="211">
        <f t="shared" si="272"/>
        <v>656.5</v>
      </c>
      <c r="W407" s="211">
        <f t="shared" si="272"/>
        <v>463.6</v>
      </c>
      <c r="X407" s="210">
        <f t="shared" si="272"/>
        <v>806</v>
      </c>
      <c r="Y407" s="210">
        <f t="shared" si="272"/>
        <v>708</v>
      </c>
      <c r="Z407" s="210">
        <f t="shared" si="272"/>
        <v>846</v>
      </c>
      <c r="AA407" s="210">
        <f t="shared" si="272"/>
        <v>794</v>
      </c>
      <c r="AB407" s="210">
        <f t="shared" si="272"/>
        <v>754</v>
      </c>
      <c r="AC407" s="211">
        <f t="shared" si="272"/>
        <v>715</v>
      </c>
      <c r="AD407" s="211">
        <f t="shared" si="272"/>
        <v>676</v>
      </c>
      <c r="AE407" s="210">
        <f t="shared" si="272"/>
        <v>708</v>
      </c>
      <c r="AF407" s="210">
        <f t="shared" si="272"/>
        <v>850</v>
      </c>
      <c r="AG407" s="210">
        <f t="shared" si="272"/>
        <v>785</v>
      </c>
      <c r="AH407" s="210">
        <f t="shared" si="272"/>
        <v>603</v>
      </c>
      <c r="AI407" s="210">
        <f t="shared" si="272"/>
        <v>150</v>
      </c>
      <c r="AJ407" s="211">
        <f t="shared" si="272"/>
        <v>0</v>
      </c>
    </row>
    <row r="408" ht="17.4" customHeight="1" outlineLevel="1" spans="2:36">
      <c r="B408" s="207"/>
      <c r="C408" s="91" t="s">
        <v>216</v>
      </c>
      <c r="D408" s="209">
        <f>SUM(D5:D404)</f>
        <v>4048200</v>
      </c>
      <c r="E408" s="209">
        <f>SUM(F408:AG408)</f>
        <v>3350657</v>
      </c>
      <c r="F408" s="95">
        <f>F10+F20+F30+F50+F60+F70+F80+F90+F100+F110+F120+F130+F140+F150+F180+F190+F210+F220+F280+F290+F320+F330+F340+F370+F380+F390+F400+F260+F270+F300+F360+F310+F250+F240+F230+F160</f>
        <v>76330.5</v>
      </c>
      <c r="G408" s="95">
        <f t="shared" ref="G408:AJ408" si="273">G10+G20+G30+G50+G60+G70+G80+G90+G100+G110+G120+G130+G140+G150+G180+G190+G210+G220+G280+G290+G320+G330+G340+G370+G380+G390+G400+G260+G270+G300+G360+G310+G250+G240+G230+G160</f>
        <v>95211.5</v>
      </c>
      <c r="H408" s="96">
        <f t="shared" si="273"/>
        <v>94664</v>
      </c>
      <c r="I408" s="96">
        <f t="shared" si="273"/>
        <v>72226.125</v>
      </c>
      <c r="J408" s="95">
        <f t="shared" si="273"/>
        <v>98069.95</v>
      </c>
      <c r="K408" s="95">
        <f t="shared" si="273"/>
        <v>106937.1</v>
      </c>
      <c r="L408" s="95">
        <f t="shared" si="273"/>
        <v>113955.1</v>
      </c>
      <c r="M408" s="95">
        <f t="shared" si="273"/>
        <v>126392.6</v>
      </c>
      <c r="N408" s="95">
        <f t="shared" si="273"/>
        <v>130073.2</v>
      </c>
      <c r="O408" s="96">
        <f t="shared" si="273"/>
        <v>0</v>
      </c>
      <c r="P408" s="96">
        <f t="shared" si="273"/>
        <v>129610.8</v>
      </c>
      <c r="Q408" s="96">
        <f t="shared" si="273"/>
        <v>127954.4</v>
      </c>
      <c r="R408" s="95">
        <f t="shared" si="273"/>
        <v>145977.4</v>
      </c>
      <c r="S408" s="95">
        <f t="shared" si="273"/>
        <v>154803.5</v>
      </c>
      <c r="T408" s="95">
        <f>T10+T20+T30+T50+T60+T70+T80+T90+T100+T110+T120+T130+T140+T150+T180+T190+T210+T220+T280+T290+T320+T330+T340+T370+T380+T390+T400+T260+T270+T300+T360+T310+T250+T240+T230+T160+T350</f>
        <v>138713.5</v>
      </c>
      <c r="U408" s="95">
        <f>U10+U20+U30+U50+U60+U70+U80+U90+U100+U110+U120+U130+U140+U150+U180+U190+U210+U220+U280+U290+U320+U330+U340+U370+U380+U390+U400+U260+U270+U300+U360+U310+U250+U240+U230+U160+U351</f>
        <v>131007</v>
      </c>
      <c r="V408" s="96">
        <f t="shared" si="273"/>
        <v>117786</v>
      </c>
      <c r="W408" s="96">
        <f t="shared" si="273"/>
        <v>62942.125</v>
      </c>
      <c r="X408" s="95">
        <f t="shared" si="273"/>
        <v>135600.3</v>
      </c>
      <c r="Y408" s="95">
        <f t="shared" si="273"/>
        <v>129542.65</v>
      </c>
      <c r="Z408" s="95">
        <f t="shared" si="273"/>
        <v>155728</v>
      </c>
      <c r="AA408" s="95">
        <f t="shared" si="273"/>
        <v>150490.25</v>
      </c>
      <c r="AB408" s="95">
        <f t="shared" si="273"/>
        <v>143278.5</v>
      </c>
      <c r="AC408" s="96">
        <f t="shared" si="273"/>
        <v>154440</v>
      </c>
      <c r="AD408" s="96">
        <f t="shared" si="273"/>
        <v>143132</v>
      </c>
      <c r="AE408" s="95">
        <f t="shared" si="273"/>
        <v>146565.25</v>
      </c>
      <c r="AF408" s="95">
        <f t="shared" si="273"/>
        <v>140542.5</v>
      </c>
      <c r="AG408" s="95">
        <f t="shared" si="273"/>
        <v>128682.75</v>
      </c>
      <c r="AH408" s="95">
        <f t="shared" si="273"/>
        <v>107042</v>
      </c>
      <c r="AI408" s="95">
        <f t="shared" si="273"/>
        <v>40958</v>
      </c>
      <c r="AJ408" s="96">
        <f t="shared" si="273"/>
        <v>0</v>
      </c>
    </row>
    <row r="409" ht="17.4" customHeight="1" outlineLevel="1" spans="2:36">
      <c r="B409" s="207"/>
      <c r="C409" s="91" t="s">
        <v>217</v>
      </c>
      <c r="D409" s="209"/>
      <c r="E409" s="209"/>
      <c r="F409" s="95"/>
      <c r="G409" s="95"/>
      <c r="H409" s="96"/>
      <c r="I409" s="96"/>
      <c r="J409" s="95"/>
      <c r="K409" s="95"/>
      <c r="L409" s="95"/>
      <c r="M409" s="95"/>
      <c r="N409" s="95"/>
      <c r="O409" s="96"/>
      <c r="P409" s="96"/>
      <c r="Q409" s="96"/>
      <c r="R409" s="95"/>
      <c r="S409" s="95"/>
      <c r="T409" s="95"/>
      <c r="U409" s="95"/>
      <c r="V409" s="96"/>
      <c r="W409" s="123"/>
      <c r="X409" s="128"/>
      <c r="Y409" s="128"/>
      <c r="Z409" s="128"/>
      <c r="AA409" s="128"/>
      <c r="AB409" s="128"/>
      <c r="AC409" s="96"/>
      <c r="AD409" s="96"/>
      <c r="AE409" s="95"/>
      <c r="AF409" s="139"/>
      <c r="AG409" s="95"/>
      <c r="AH409" s="139"/>
      <c r="AI409" s="139"/>
      <c r="AJ409" s="154"/>
    </row>
    <row r="410" s="53" customFormat="1" ht="15.6" customHeight="1" outlineLevel="1" spans="1:36">
      <c r="A410" s="212"/>
      <c r="B410" s="213"/>
      <c r="C410" s="214" t="s">
        <v>218</v>
      </c>
      <c r="D410" s="215"/>
      <c r="E410" s="216">
        <f>SUM(F410:AJ410)</f>
        <v>3430429</v>
      </c>
      <c r="F410" s="217">
        <f>F11+F21+F31+F51+F61+F71+F81+F91+F101+F111+F121+F151+F181+F191+F211+F221+F281+F291+F321+F331+F341+F371+F381+F391+F401+F131+F141+F261+F271+F301+F361+F41+F161+F231+F241+F251+F311</f>
        <v>84613</v>
      </c>
      <c r="G410" s="217">
        <f>G11+G21+G31+G51+G61+G71+G81+G91+G101+G111+G121+G151+G181+G191+G211+G221+G281+G291+G321+G331+G341+G371+G381+G391+G401+G131+G141+G261+G271+G301+G361+G41+G161+G231+G241+G251+G311+G201</f>
        <v>92636</v>
      </c>
      <c r="H410" s="218">
        <f>H11+H21+H31+H41+H51+H61+H71+H81+H91+H101+H111+H121+H131+H141+H151+H161+H181+H191+H201+H211+H221+H231+H241+H251+H261+H271+H281+H291+H301+H311+H321+H331+H341+H361+H371+H381+H391+H401</f>
        <v>103677</v>
      </c>
      <c r="I410" s="218">
        <f>I11+I21+I31+I41+I51+I61+I71+I81+I91+I101+I111+I121+I131+I141+I151+I161+I181+I191+I201+I211+I221+I231+I241+I251+I261+I271+I281+I291+I301+I311+I321+I331+I341+I361+I371+I381+I391+I401</f>
        <v>75684</v>
      </c>
      <c r="J410" s="217">
        <f>J11+J21+J31+J41+J51+J61+J71+J81+J91+J101+J111+J121+J131+J141+J151+J161+J181+J191+J201+J211+J221+J231+J241+J251+J261+J271+J281+J291+J301+J311+J321+J331+J341+J361+J371+J381+J391+J401</f>
        <v>116179</v>
      </c>
      <c r="K410" s="217">
        <f>K11+K21+K31+K41+K51+K61+K71+K81+K91+K101+K111+K121+K131+K141+K151+K161+K181+K191+K201+K211+K221+K231+K241+K251+K261+K271+K281+K291+K301+K311+K321+K331+K341+K361+K371+K381+K391+K401+K351</f>
        <v>118942</v>
      </c>
      <c r="L410" s="217">
        <f t="shared" ref="K410:S410" si="274">L11+L21+L31+L41+L51+L61+L71+L81+L91+L101+L111+L121+L131+L141+L151+L161+L181+L191+L201+L211+L221+L231+L241+L251+L261+L271+L281+L291+L301+L311+L321+L331+L341+L361+L371+L381+L391+L401+L351</f>
        <v>121183</v>
      </c>
      <c r="M410" s="217">
        <f t="shared" si="274"/>
        <v>128475</v>
      </c>
      <c r="N410" s="217">
        <f t="shared" si="274"/>
        <v>133398</v>
      </c>
      <c r="O410" s="218">
        <f t="shared" si="274"/>
        <v>0</v>
      </c>
      <c r="P410" s="218">
        <f t="shared" si="274"/>
        <v>130577</v>
      </c>
      <c r="Q410" s="218">
        <f t="shared" si="274"/>
        <v>134030</v>
      </c>
      <c r="R410" s="217">
        <f t="shared" si="274"/>
        <v>153824</v>
      </c>
      <c r="S410" s="217">
        <f t="shared" si="274"/>
        <v>152425</v>
      </c>
      <c r="T410" s="217">
        <f>T11+T21+T31+T41+T51+T61+T71+T81+T91+T101+T111+T121+T131+T141+T151+T161+T181+T191+T201+T211+T221+T231+T241+T251+T261+T271+T281+T291+T301+T311+T321+T331+T341+T361+T371+T381+T391+T401+T351+T171</f>
        <v>139561</v>
      </c>
      <c r="U410" s="217">
        <f t="shared" ref="U410:AI410" si="275">U11+U21+U31+U41+U51+U61+U71+U81+U91+U101+U111+U121+U131+U141+U151+U161+U181+U191+U201+U211+U221+U231+U241+U251+U261+U271+U281+U291+U301+U311+U321+U331+U341+U361+U371+U381+U391+U401+U351+U171</f>
        <v>129061</v>
      </c>
      <c r="V410" s="218">
        <f t="shared" si="275"/>
        <v>112315</v>
      </c>
      <c r="W410" s="218">
        <f t="shared" si="275"/>
        <v>60996</v>
      </c>
      <c r="X410" s="217">
        <f t="shared" si="275"/>
        <v>125033</v>
      </c>
      <c r="Y410" s="217">
        <f t="shared" si="275"/>
        <v>127257</v>
      </c>
      <c r="Z410" s="217">
        <f t="shared" si="275"/>
        <v>145003</v>
      </c>
      <c r="AA410" s="217">
        <f t="shared" si="275"/>
        <v>137475</v>
      </c>
      <c r="AB410" s="217">
        <f t="shared" si="275"/>
        <v>141565</v>
      </c>
      <c r="AC410" s="218">
        <f t="shared" si="275"/>
        <v>150088</v>
      </c>
      <c r="AD410" s="218">
        <f t="shared" si="275"/>
        <v>153415</v>
      </c>
      <c r="AE410" s="217">
        <f t="shared" si="275"/>
        <v>141681</v>
      </c>
      <c r="AF410" s="217">
        <f t="shared" si="275"/>
        <v>125038</v>
      </c>
      <c r="AG410" s="217">
        <f t="shared" si="275"/>
        <v>120977</v>
      </c>
      <c r="AH410" s="217">
        <f t="shared" si="275"/>
        <v>58073</v>
      </c>
      <c r="AI410" s="217">
        <f t="shared" si="275"/>
        <v>17248</v>
      </c>
      <c r="AJ410" s="218">
        <f>AJ11+AJ21+AJ31+AJ41+AJ51+AJ61+AJ71+AJ81+AJ91+AJ101+AJ111+AJ121+AJ131+AJ141+AJ151+AJ161+AJ181+AJ191+AJ201+AJ211+AJ221+AJ231+AJ241+AJ251+AJ261+AJ271+AJ281+AJ291+AJ301+AJ311+AJ321+AJ331+AJ341+AJ361+AJ371+AJ381+AJ391+AJ401+AJ351</f>
        <v>0</v>
      </c>
    </row>
    <row r="411" ht="17.4" customHeight="1" outlineLevel="1" spans="2:36">
      <c r="B411" s="219"/>
      <c r="C411" s="102" t="s">
        <v>219</v>
      </c>
      <c r="D411" s="220"/>
      <c r="E411" s="220"/>
      <c r="F411" s="124"/>
      <c r="G411" s="124"/>
      <c r="H411" s="221"/>
      <c r="I411" s="221"/>
      <c r="J411" s="124"/>
      <c r="K411" s="124"/>
      <c r="L411" s="124"/>
      <c r="M411" s="124"/>
      <c r="N411" s="124"/>
      <c r="O411" s="221"/>
      <c r="P411" s="221"/>
      <c r="Q411" s="221"/>
      <c r="R411" s="124"/>
      <c r="S411" s="124"/>
      <c r="T411" s="124"/>
      <c r="U411" s="124"/>
      <c r="V411" s="221"/>
      <c r="W411" s="231"/>
      <c r="X411" s="188"/>
      <c r="Y411" s="188"/>
      <c r="Z411" s="188"/>
      <c r="AA411" s="188"/>
      <c r="AB411" s="188"/>
      <c r="AC411" s="221"/>
      <c r="AD411" s="221"/>
      <c r="AE411" s="124"/>
      <c r="AF411" s="155"/>
      <c r="AG411" s="124"/>
      <c r="AH411" s="155"/>
      <c r="AI411" s="155"/>
      <c r="AJ411" s="156"/>
    </row>
    <row r="412" ht="18" customHeight="1" spans="2:36">
      <c r="B412" s="222" t="s">
        <v>117</v>
      </c>
      <c r="C412" s="197" t="s">
        <v>194</v>
      </c>
      <c r="D412" s="198"/>
      <c r="E412" s="198">
        <f>IF((E410+492)&gt;0,(E410+E411)/E408,"")</f>
        <v>1.02380786812855</v>
      </c>
      <c r="F412" s="223">
        <f>F410/F408</f>
        <v>1.10850839441639</v>
      </c>
      <c r="G412" s="223">
        <f t="shared" ref="G412:AJ412" si="276">G410/G408</f>
        <v>0.972949696202665</v>
      </c>
      <c r="H412" s="201">
        <f t="shared" si="276"/>
        <v>1.09521042846277</v>
      </c>
      <c r="I412" s="201">
        <f t="shared" si="276"/>
        <v>1.04787568210256</v>
      </c>
      <c r="J412" s="200">
        <f t="shared" si="276"/>
        <v>1.18465442268503</v>
      </c>
      <c r="K412" s="200">
        <f t="shared" si="276"/>
        <v>1.11226131997221</v>
      </c>
      <c r="L412" s="223">
        <f t="shared" si="276"/>
        <v>1.06342761315641</v>
      </c>
      <c r="M412" s="223">
        <f t="shared" si="276"/>
        <v>1.01647564809965</v>
      </c>
      <c r="N412" s="200">
        <f t="shared" si="276"/>
        <v>1.02556099181077</v>
      </c>
      <c r="O412" s="201" t="e">
        <f t="shared" si="276"/>
        <v>#DIV/0!</v>
      </c>
      <c r="P412" s="201">
        <f t="shared" si="276"/>
        <v>1.00745462569477</v>
      </c>
      <c r="Q412" s="201">
        <f t="shared" si="276"/>
        <v>1.04748254065511</v>
      </c>
      <c r="R412" s="200">
        <f t="shared" si="276"/>
        <v>1.05375215615568</v>
      </c>
      <c r="S412" s="223">
        <f t="shared" si="276"/>
        <v>0.984635360311621</v>
      </c>
      <c r="T412" s="223">
        <f t="shared" si="276"/>
        <v>1.00610971534854</v>
      </c>
      <c r="U412" s="200">
        <f t="shared" si="276"/>
        <v>0.985145831902112</v>
      </c>
      <c r="V412" s="201">
        <f t="shared" si="276"/>
        <v>0.953551355848743</v>
      </c>
      <c r="W412" s="201">
        <f t="shared" si="276"/>
        <v>0.96908072296574</v>
      </c>
      <c r="X412" s="200">
        <f t="shared" si="276"/>
        <v>0.922070231408043</v>
      </c>
      <c r="Y412" s="200">
        <f t="shared" si="276"/>
        <v>0.982356003987876</v>
      </c>
      <c r="Z412" s="234">
        <f t="shared" si="276"/>
        <v>0.931129918832837</v>
      </c>
      <c r="AA412" s="200">
        <f t="shared" si="276"/>
        <v>0.913514330662618</v>
      </c>
      <c r="AB412" s="200">
        <f t="shared" si="276"/>
        <v>0.98804077373786</v>
      </c>
      <c r="AC412" s="201">
        <f t="shared" si="276"/>
        <v>0.971820771820772</v>
      </c>
      <c r="AD412" s="201">
        <f t="shared" si="276"/>
        <v>1.07184277450186</v>
      </c>
      <c r="AE412" s="200">
        <f t="shared" si="276"/>
        <v>0.966675252148787</v>
      </c>
      <c r="AF412" s="233">
        <f t="shared" si="276"/>
        <v>0.889681057331412</v>
      </c>
      <c r="AG412" s="200">
        <f t="shared" si="276"/>
        <v>0.940118236515772</v>
      </c>
      <c r="AH412" s="200">
        <f t="shared" si="276"/>
        <v>0.542525363875862</v>
      </c>
      <c r="AI412" s="233">
        <f t="shared" si="276"/>
        <v>0.421114312222276</v>
      </c>
      <c r="AJ412" s="238" t="e">
        <f t="shared" si="276"/>
        <v>#DIV/0!</v>
      </c>
    </row>
    <row r="414" spans="2:36">
      <c r="B414" s="224" t="s">
        <v>220</v>
      </c>
      <c r="D414" s="225"/>
      <c r="E414" s="225"/>
      <c r="F414" s="225">
        <v>6</v>
      </c>
      <c r="G414" s="225">
        <v>9</v>
      </c>
      <c r="H414" s="225">
        <v>10</v>
      </c>
      <c r="I414" s="225">
        <v>8</v>
      </c>
      <c r="J414" s="225">
        <v>10</v>
      </c>
      <c r="K414" s="225">
        <v>11</v>
      </c>
      <c r="L414" s="225">
        <v>10</v>
      </c>
      <c r="M414" s="225">
        <v>12</v>
      </c>
      <c r="N414" s="225">
        <v>11</v>
      </c>
      <c r="O414" s="225"/>
      <c r="P414" s="225">
        <v>11</v>
      </c>
      <c r="Q414" s="225">
        <v>10</v>
      </c>
      <c r="R414" s="225">
        <v>11</v>
      </c>
      <c r="S414" s="225">
        <v>12</v>
      </c>
      <c r="T414" s="225">
        <v>10</v>
      </c>
      <c r="U414" s="225">
        <v>10</v>
      </c>
      <c r="V414" s="225">
        <v>7</v>
      </c>
      <c r="W414" s="225">
        <v>11</v>
      </c>
      <c r="X414" s="225">
        <v>14</v>
      </c>
      <c r="Y414" s="225">
        <v>13</v>
      </c>
      <c r="Z414" s="225">
        <v>15</v>
      </c>
      <c r="AA414" s="225">
        <v>14</v>
      </c>
      <c r="AB414" s="225">
        <v>15</v>
      </c>
      <c r="AC414" s="225">
        <v>12</v>
      </c>
      <c r="AD414" s="225">
        <v>11</v>
      </c>
      <c r="AE414" s="225">
        <v>11</v>
      </c>
      <c r="AF414" s="225">
        <v>11</v>
      </c>
      <c r="AG414" s="225">
        <v>8</v>
      </c>
      <c r="AH414" s="225">
        <v>5</v>
      </c>
      <c r="AI414" s="225">
        <v>2</v>
      </c>
      <c r="AJ414" s="239">
        <f>SUM(AE414:AI414)</f>
        <v>37</v>
      </c>
    </row>
    <row r="415" spans="2:36">
      <c r="B415" s="224" t="s">
        <v>221</v>
      </c>
      <c r="D415" s="225"/>
      <c r="E415" s="225"/>
      <c r="F415" s="225">
        <v>2</v>
      </c>
      <c r="G415" s="225">
        <v>4</v>
      </c>
      <c r="H415" s="225">
        <v>4</v>
      </c>
      <c r="I415" s="225">
        <v>3</v>
      </c>
      <c r="J415" s="225">
        <v>6</v>
      </c>
      <c r="K415" s="225">
        <v>6</v>
      </c>
      <c r="L415" s="225">
        <v>4</v>
      </c>
      <c r="M415" s="225">
        <v>4</v>
      </c>
      <c r="N415" s="225">
        <v>5</v>
      </c>
      <c r="O415" s="225"/>
      <c r="P415" s="225">
        <v>6</v>
      </c>
      <c r="Q415" s="225">
        <v>8</v>
      </c>
      <c r="R415" s="225">
        <v>6</v>
      </c>
      <c r="S415" s="225">
        <v>7</v>
      </c>
      <c r="T415" s="225">
        <v>3</v>
      </c>
      <c r="U415" s="225">
        <v>5</v>
      </c>
      <c r="V415" s="225">
        <v>5</v>
      </c>
      <c r="W415" s="225">
        <v>7</v>
      </c>
      <c r="X415" s="225">
        <v>5</v>
      </c>
      <c r="Y415" s="225">
        <v>4</v>
      </c>
      <c r="Z415" s="225">
        <v>4</v>
      </c>
      <c r="AA415" s="225">
        <v>5</v>
      </c>
      <c r="AB415" s="225">
        <v>2</v>
      </c>
      <c r="AC415" s="225">
        <v>3</v>
      </c>
      <c r="AD415" s="225">
        <v>6</v>
      </c>
      <c r="AE415" s="225">
        <v>3</v>
      </c>
      <c r="AF415" s="225">
        <v>5</v>
      </c>
      <c r="AG415" s="225">
        <v>2</v>
      </c>
      <c r="AH415" s="225">
        <v>1</v>
      </c>
      <c r="AI415" s="225">
        <v>0</v>
      </c>
      <c r="AJ415" s="239">
        <f>SUM(AE415:AI415)</f>
        <v>11</v>
      </c>
    </row>
    <row r="416" spans="2:36">
      <c r="B416" s="226" t="s">
        <v>222</v>
      </c>
      <c r="D416" s="227"/>
      <c r="E416" s="227"/>
      <c r="F416" s="227">
        <f t="shared" ref="F416:Z416" si="277">F415/F414</f>
        <v>0.333333333333333</v>
      </c>
      <c r="G416" s="227">
        <f t="shared" si="277"/>
        <v>0.444444444444444</v>
      </c>
      <c r="H416" s="227">
        <f t="shared" si="277"/>
        <v>0.4</v>
      </c>
      <c r="I416" s="227">
        <f t="shared" si="277"/>
        <v>0.375</v>
      </c>
      <c r="J416" s="227">
        <f t="shared" si="277"/>
        <v>0.6</v>
      </c>
      <c r="K416" s="227">
        <f t="shared" si="277"/>
        <v>0.545454545454545</v>
      </c>
      <c r="L416" s="227">
        <f t="shared" si="277"/>
        <v>0.4</v>
      </c>
      <c r="M416" s="227">
        <f t="shared" si="277"/>
        <v>0.333333333333333</v>
      </c>
      <c r="N416" s="227">
        <f t="shared" si="277"/>
        <v>0.454545454545455</v>
      </c>
      <c r="O416" s="227"/>
      <c r="P416" s="227">
        <f t="shared" si="277"/>
        <v>0.545454545454545</v>
      </c>
      <c r="Q416" s="227">
        <f t="shared" si="277"/>
        <v>0.8</v>
      </c>
      <c r="R416" s="227">
        <f t="shared" si="277"/>
        <v>0.545454545454545</v>
      </c>
      <c r="S416" s="227">
        <f t="shared" si="277"/>
        <v>0.583333333333333</v>
      </c>
      <c r="T416" s="227">
        <f t="shared" si="277"/>
        <v>0.3</v>
      </c>
      <c r="U416" s="227">
        <f t="shared" si="277"/>
        <v>0.5</v>
      </c>
      <c r="V416" s="227">
        <f t="shared" si="277"/>
        <v>0.714285714285714</v>
      </c>
      <c r="W416" s="227">
        <f t="shared" si="277"/>
        <v>0.636363636363636</v>
      </c>
      <c r="X416" s="227">
        <f t="shared" si="277"/>
        <v>0.357142857142857</v>
      </c>
      <c r="Y416" s="227">
        <f t="shared" si="277"/>
        <v>0.307692307692308</v>
      </c>
      <c r="Z416" s="227">
        <f t="shared" si="277"/>
        <v>0.266666666666667</v>
      </c>
      <c r="AA416" s="227">
        <f t="shared" ref="AA416:AJ416" si="278">AA415/AA414</f>
        <v>0.357142857142857</v>
      </c>
      <c r="AB416" s="227">
        <f t="shared" si="278"/>
        <v>0.133333333333333</v>
      </c>
      <c r="AC416" s="227">
        <f t="shared" si="278"/>
        <v>0.25</v>
      </c>
      <c r="AD416" s="227">
        <f t="shared" si="278"/>
        <v>0.545454545454545</v>
      </c>
      <c r="AE416" s="227">
        <f t="shared" si="278"/>
        <v>0.272727272727273</v>
      </c>
      <c r="AF416" s="227">
        <f t="shared" si="278"/>
        <v>0.454545454545455</v>
      </c>
      <c r="AG416" s="227">
        <f t="shared" si="278"/>
        <v>0.25</v>
      </c>
      <c r="AH416" s="227">
        <f t="shared" si="278"/>
        <v>0.2</v>
      </c>
      <c r="AI416" s="227">
        <f t="shared" si="278"/>
        <v>0</v>
      </c>
      <c r="AJ416" s="227">
        <f t="shared" si="278"/>
        <v>0.297297297297297</v>
      </c>
    </row>
    <row r="417" spans="29:37">
      <c r="AC417" s="225">
        <f>SUM(X408:AD408)</f>
        <v>1012211.7</v>
      </c>
      <c r="AD417" s="225">
        <f>SUM(X414:AD414)</f>
        <v>94</v>
      </c>
      <c r="AJ417" s="225">
        <f>SUBTOTAL(9,F414:AI414)</f>
        <v>300</v>
      </c>
      <c r="AK417" s="225">
        <f>SUM(AE408:AI408)</f>
        <v>563790.5</v>
      </c>
    </row>
    <row r="418" spans="29:37">
      <c r="AC418" s="225">
        <f>SUM(X410:AD410)</f>
        <v>979836</v>
      </c>
      <c r="AD418" s="225">
        <f>SUM(X415:AD415)</f>
        <v>29</v>
      </c>
      <c r="AJ418" s="225">
        <f>SUBTOTAL(9,F415:AI415)</f>
        <v>125</v>
      </c>
      <c r="AK418" s="225">
        <f>SUM(AE410:AI410)</f>
        <v>463017</v>
      </c>
    </row>
    <row r="419" spans="29:37">
      <c r="AC419" s="227">
        <f>AC418/AC417</f>
        <v>0.968014892536808</v>
      </c>
      <c r="AD419" s="227">
        <f>AD418/AD417</f>
        <v>0.308510638297872</v>
      </c>
      <c r="AJ419" s="227">
        <f>AJ418/AJ417</f>
        <v>0.416666666666667</v>
      </c>
      <c r="AK419" s="227">
        <f>AK418/AK417</f>
        <v>0.821257186845114</v>
      </c>
    </row>
  </sheetData>
  <autoFilter ref="A3:VPM419">
    <extLst/>
  </autoFilter>
  <mergeCells count="40">
    <mergeCell ref="B5:B14"/>
    <mergeCell ref="B15:B24"/>
    <mergeCell ref="B25:B34"/>
    <mergeCell ref="B35:B44"/>
    <mergeCell ref="B45:B54"/>
    <mergeCell ref="B55:B64"/>
    <mergeCell ref="B65:B74"/>
    <mergeCell ref="B75:B84"/>
    <mergeCell ref="B85:B94"/>
    <mergeCell ref="B95:B104"/>
    <mergeCell ref="B105:B114"/>
    <mergeCell ref="B115:B124"/>
    <mergeCell ref="B125:B134"/>
    <mergeCell ref="B135:B144"/>
    <mergeCell ref="B145:B154"/>
    <mergeCell ref="B155:B164"/>
    <mergeCell ref="B165:B174"/>
    <mergeCell ref="B175:B184"/>
    <mergeCell ref="B185:B194"/>
    <mergeCell ref="B195:B204"/>
    <mergeCell ref="B205:B214"/>
    <mergeCell ref="B215:B224"/>
    <mergeCell ref="B225:B234"/>
    <mergeCell ref="B235:B244"/>
    <mergeCell ref="B245:B254"/>
    <mergeCell ref="B255:B264"/>
    <mergeCell ref="B265:B274"/>
    <mergeCell ref="B275:B284"/>
    <mergeCell ref="B285:B294"/>
    <mergeCell ref="B295:B304"/>
    <mergeCell ref="B305:B314"/>
    <mergeCell ref="B315:B324"/>
    <mergeCell ref="B325:B334"/>
    <mergeCell ref="B335:B344"/>
    <mergeCell ref="B345:B354"/>
    <mergeCell ref="B355:B364"/>
    <mergeCell ref="B365:B374"/>
    <mergeCell ref="B375:B384"/>
    <mergeCell ref="B385:B394"/>
    <mergeCell ref="B395:B404"/>
  </mergeCells>
  <conditionalFormatting sqref="AG1">
    <cfRule type="cellIs" dxfId="1" priority="421" operator="lessThan">
      <formula>1</formula>
    </cfRule>
  </conditionalFormatting>
  <conditionalFormatting sqref="AV1">
    <cfRule type="cellIs" dxfId="1" priority="388" operator="lessThan">
      <formula>1</formula>
    </cfRule>
  </conditionalFormatting>
  <conditionalFormatting sqref="BK1">
    <cfRule type="cellIs" dxfId="1" priority="387" operator="lessThan">
      <formula>1</formula>
    </cfRule>
  </conditionalFormatting>
  <conditionalFormatting sqref="BZ1">
    <cfRule type="cellIs" dxfId="1" priority="386" operator="lessThan">
      <formula>1</formula>
    </cfRule>
  </conditionalFormatting>
  <conditionalFormatting sqref="DV1">
    <cfRule type="cellIs" dxfId="1" priority="385" operator="lessThan">
      <formula>1</formula>
    </cfRule>
  </conditionalFormatting>
  <conditionalFormatting sqref="EK1">
    <cfRule type="cellIs" dxfId="1" priority="384" operator="lessThan">
      <formula>1</formula>
    </cfRule>
  </conditionalFormatting>
  <conditionalFormatting sqref="EZ1">
    <cfRule type="cellIs" dxfId="1" priority="383" operator="lessThan">
      <formula>1</formula>
    </cfRule>
  </conditionalFormatting>
  <conditionalFormatting sqref="FO1">
    <cfRule type="cellIs" dxfId="1" priority="382" operator="lessThan">
      <formula>1</formula>
    </cfRule>
  </conditionalFormatting>
  <conditionalFormatting sqref="GD1">
    <cfRule type="cellIs" dxfId="1" priority="381" operator="lessThan">
      <formula>1</formula>
    </cfRule>
  </conditionalFormatting>
  <conditionalFormatting sqref="GS1">
    <cfRule type="cellIs" dxfId="1" priority="380" operator="lessThan">
      <formula>1</formula>
    </cfRule>
  </conditionalFormatting>
  <conditionalFormatting sqref="HH1">
    <cfRule type="cellIs" dxfId="1" priority="379" operator="lessThan">
      <formula>1</formula>
    </cfRule>
  </conditionalFormatting>
  <conditionalFormatting sqref="HZ1">
    <cfRule type="cellIs" dxfId="1" priority="378" operator="lessThan">
      <formula>1</formula>
    </cfRule>
  </conditionalFormatting>
  <conditionalFormatting sqref="IO1">
    <cfRule type="cellIs" dxfId="1" priority="377" operator="lessThan">
      <formula>1</formula>
    </cfRule>
  </conditionalFormatting>
  <conditionalFormatting sqref="JD1">
    <cfRule type="cellIs" dxfId="1" priority="376" operator="lessThan">
      <formula>1</formula>
    </cfRule>
  </conditionalFormatting>
  <conditionalFormatting sqref="JS1">
    <cfRule type="cellIs" dxfId="1" priority="375" operator="lessThan">
      <formula>1</formula>
    </cfRule>
  </conditionalFormatting>
  <conditionalFormatting sqref="KH1">
    <cfRule type="cellIs" dxfId="1" priority="374" operator="lessThan">
      <formula>1</formula>
    </cfRule>
  </conditionalFormatting>
  <conditionalFormatting sqref="KW1">
    <cfRule type="cellIs" dxfId="1" priority="373" operator="lessThan">
      <formula>1</formula>
    </cfRule>
  </conditionalFormatting>
  <conditionalFormatting sqref="LL1">
    <cfRule type="cellIs" dxfId="1" priority="372" operator="lessThan">
      <formula>1</formula>
    </cfRule>
  </conditionalFormatting>
  <conditionalFormatting sqref="MD1">
    <cfRule type="cellIs" dxfId="1" priority="371" operator="lessThan">
      <formula>1</formula>
    </cfRule>
  </conditionalFormatting>
  <conditionalFormatting sqref="MS1">
    <cfRule type="cellIs" dxfId="1" priority="370" operator="lessThan">
      <formula>1</formula>
    </cfRule>
  </conditionalFormatting>
  <conditionalFormatting sqref="NH1">
    <cfRule type="cellIs" dxfId="1" priority="369" operator="lessThan">
      <formula>1</formula>
    </cfRule>
  </conditionalFormatting>
  <conditionalFormatting sqref="NW1">
    <cfRule type="cellIs" dxfId="1" priority="368" operator="lessThan">
      <formula>1</formula>
    </cfRule>
  </conditionalFormatting>
  <conditionalFormatting sqref="OL1">
    <cfRule type="cellIs" dxfId="1" priority="367" operator="lessThan">
      <formula>1</formula>
    </cfRule>
  </conditionalFormatting>
  <conditionalFormatting sqref="PA1">
    <cfRule type="cellIs" dxfId="1" priority="366" operator="lessThan">
      <formula>1</formula>
    </cfRule>
  </conditionalFormatting>
  <conditionalFormatting sqref="PP1">
    <cfRule type="cellIs" dxfId="1" priority="365" operator="lessThan">
      <formula>1</formula>
    </cfRule>
  </conditionalFormatting>
  <conditionalFormatting sqref="QH1">
    <cfRule type="cellIs" dxfId="1" priority="364" operator="lessThan">
      <formula>1</formula>
    </cfRule>
  </conditionalFormatting>
  <conditionalFormatting sqref="P3:Q3">
    <cfRule type="cellIs" dxfId="1" priority="407" operator="lessThan">
      <formula>0</formula>
    </cfRule>
  </conditionalFormatting>
  <conditionalFormatting sqref="V4">
    <cfRule type="cellIs" dxfId="1" priority="391" operator="lessThan">
      <formula>1</formula>
    </cfRule>
  </conditionalFormatting>
  <conditionalFormatting sqref="AG4">
    <cfRule type="cellIs" dxfId="1" priority="416" operator="lessThan">
      <formula>1</formula>
    </cfRule>
  </conditionalFormatting>
  <conditionalFormatting sqref="AV4">
    <cfRule type="cellIs" dxfId="1" priority="284" operator="lessThan">
      <formula>1</formula>
    </cfRule>
  </conditionalFormatting>
  <conditionalFormatting sqref="BK4">
    <cfRule type="cellIs" dxfId="1" priority="271" operator="lessThan">
      <formula>1</formula>
    </cfRule>
  </conditionalFormatting>
  <conditionalFormatting sqref="BZ4">
    <cfRule type="cellIs" dxfId="1" priority="258" operator="lessThan">
      <formula>1</formula>
    </cfRule>
  </conditionalFormatting>
  <conditionalFormatting sqref="CO4">
    <cfRule type="cellIs" dxfId="1" priority="245" operator="lessThan">
      <formula>1</formula>
    </cfRule>
  </conditionalFormatting>
  <conditionalFormatting sqref="DD4">
    <cfRule type="cellIs" dxfId="1" priority="232" operator="lessThan">
      <formula>1</formula>
    </cfRule>
  </conditionalFormatting>
  <conditionalFormatting sqref="DK4">
    <cfRule type="cellIs" dxfId="1" priority="300" operator="lessThan">
      <formula>1</formula>
    </cfRule>
  </conditionalFormatting>
  <conditionalFormatting sqref="DV4">
    <cfRule type="cellIs" dxfId="1" priority="219" operator="lessThan">
      <formula>1</formula>
    </cfRule>
  </conditionalFormatting>
  <conditionalFormatting sqref="EK4">
    <cfRule type="cellIs" dxfId="1" priority="206" operator="lessThan">
      <formula>1</formula>
    </cfRule>
  </conditionalFormatting>
  <conditionalFormatting sqref="EZ4">
    <cfRule type="cellIs" dxfId="1" priority="196" operator="lessThan">
      <formula>1</formula>
    </cfRule>
  </conditionalFormatting>
  <conditionalFormatting sqref="FO4">
    <cfRule type="cellIs" dxfId="1" priority="186" operator="lessThan">
      <formula>1</formula>
    </cfRule>
  </conditionalFormatting>
  <conditionalFormatting sqref="GD4">
    <cfRule type="cellIs" dxfId="1" priority="176" operator="lessThan">
      <formula>1</formula>
    </cfRule>
  </conditionalFormatting>
  <conditionalFormatting sqref="GS4">
    <cfRule type="cellIs" dxfId="1" priority="166" operator="lessThan">
      <formula>1</formula>
    </cfRule>
  </conditionalFormatting>
  <conditionalFormatting sqref="HH4">
    <cfRule type="cellIs" dxfId="1" priority="156" operator="lessThan">
      <formula>1</formula>
    </cfRule>
  </conditionalFormatting>
  <conditionalFormatting sqref="HO4">
    <cfRule type="cellIs" dxfId="1" priority="297" operator="lessThan">
      <formula>1</formula>
    </cfRule>
  </conditionalFormatting>
  <conditionalFormatting sqref="HZ4">
    <cfRule type="cellIs" dxfId="1" priority="146" operator="lessThan">
      <formula>1</formula>
    </cfRule>
  </conditionalFormatting>
  <conditionalFormatting sqref="IO4">
    <cfRule type="cellIs" dxfId="1" priority="136" operator="lessThan">
      <formula>1</formula>
    </cfRule>
  </conditionalFormatting>
  <conditionalFormatting sqref="JD4">
    <cfRule type="cellIs" dxfId="1" priority="126" operator="lessThan">
      <formula>1</formula>
    </cfRule>
  </conditionalFormatting>
  <conditionalFormatting sqref="JS4">
    <cfRule type="cellIs" dxfId="1" priority="116" operator="lessThan">
      <formula>1</formula>
    </cfRule>
  </conditionalFormatting>
  <conditionalFormatting sqref="KH4">
    <cfRule type="cellIs" dxfId="1" priority="106" operator="lessThan">
      <formula>1</formula>
    </cfRule>
  </conditionalFormatting>
  <conditionalFormatting sqref="KW4">
    <cfRule type="cellIs" dxfId="1" priority="96" operator="lessThan">
      <formula>1</formula>
    </cfRule>
  </conditionalFormatting>
  <conditionalFormatting sqref="LL4">
    <cfRule type="cellIs" dxfId="1" priority="86" operator="lessThan">
      <formula>1</formula>
    </cfRule>
  </conditionalFormatting>
  <conditionalFormatting sqref="LS4">
    <cfRule type="cellIs" dxfId="1" priority="294" operator="lessThan">
      <formula>1</formula>
    </cfRule>
  </conditionalFormatting>
  <conditionalFormatting sqref="MD4">
    <cfRule type="cellIs" dxfId="1" priority="76" operator="lessThan">
      <formula>1</formula>
    </cfRule>
  </conditionalFormatting>
  <conditionalFormatting sqref="MS4">
    <cfRule type="cellIs" dxfId="1" priority="66" operator="lessThan">
      <formula>1</formula>
    </cfRule>
  </conditionalFormatting>
  <conditionalFormatting sqref="NH4">
    <cfRule type="cellIs" dxfId="1" priority="56" operator="lessThan">
      <formula>1</formula>
    </cfRule>
  </conditionalFormatting>
  <conditionalFormatting sqref="NW4">
    <cfRule type="cellIs" dxfId="1" priority="46" operator="lessThan">
      <formula>1</formula>
    </cfRule>
  </conditionalFormatting>
  <conditionalFormatting sqref="OL4">
    <cfRule type="cellIs" dxfId="1" priority="36" operator="lessThan">
      <formula>1</formula>
    </cfRule>
  </conditionalFormatting>
  <conditionalFormatting sqref="PA4">
    <cfRule type="cellIs" dxfId="1" priority="26" operator="lessThan">
      <formula>1</formula>
    </cfRule>
  </conditionalFormatting>
  <conditionalFormatting sqref="PP4">
    <cfRule type="cellIs" dxfId="1" priority="16" operator="lessThan">
      <formula>1</formula>
    </cfRule>
  </conditionalFormatting>
  <conditionalFormatting sqref="PW4">
    <cfRule type="cellIs" dxfId="1" priority="291" operator="lessThan">
      <formula>1</formula>
    </cfRule>
  </conditionalFormatting>
  <conditionalFormatting sqref="QH4">
    <cfRule type="cellIs" dxfId="1" priority="6" operator="lessThan">
      <formula>1</formula>
    </cfRule>
  </conditionalFormatting>
  <conditionalFormatting sqref="J2:J4">
    <cfRule type="cellIs" dxfId="2" priority="415" operator="lessThan">
      <formula>0</formula>
    </cfRule>
  </conditionalFormatting>
  <conditionalFormatting sqref="J3:J4">
    <cfRule type="cellIs" dxfId="1" priority="452" operator="lessThan">
      <formula>0</formula>
    </cfRule>
  </conditionalFormatting>
  <conditionalFormatting sqref="L3:L4">
    <cfRule type="cellIs" dxfId="3" priority="413" operator="greaterThan">
      <formula>1</formula>
    </cfRule>
    <cfRule type="cellIs" dxfId="2" priority="414" operator="lessThan">
      <formula>0</formula>
    </cfRule>
    <cfRule type="cellIs" dxfId="1" priority="448" operator="lessThan">
      <formula>1</formula>
    </cfRule>
  </conditionalFormatting>
  <conditionalFormatting sqref="R2:R4">
    <cfRule type="cellIs" dxfId="1" priority="450" operator="lessThan">
      <formula>0</formula>
    </cfRule>
  </conditionalFormatting>
  <conditionalFormatting sqref="R2:S4">
    <cfRule type="cellIs" dxfId="1" priority="449" operator="lessThan">
      <formula>0</formula>
    </cfRule>
  </conditionalFormatting>
  <conditionalFormatting sqref="N3:N4 O3 O4:P4">
    <cfRule type="cellIs" dxfId="1" priority="451" operator="lessThan">
      <formula>0</formula>
    </cfRule>
  </conditionalFormatting>
  <pageMargins left="0.75" right="0.75" top="1" bottom="1" header="0.5" footer="0.5"/>
  <pageSetup paperSize="9"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XFD242"/>
  <sheetViews>
    <sheetView showGridLines="0" zoomScale="70" zoomScaleNormal="70" workbookViewId="0">
      <pane ySplit="2" topLeftCell="A3" activePane="bottomLeft" state="frozen"/>
      <selection/>
      <selection pane="bottomLeft" activeCell="K13" sqref="A12:K15"/>
    </sheetView>
  </sheetViews>
  <sheetFormatPr defaultColWidth="9" defaultRowHeight="14.25"/>
  <cols>
    <col min="1" max="1" width="18.775" style="3" customWidth="1"/>
    <col min="2" max="2" width="18.6666666666667" style="4" customWidth="1"/>
    <col min="3" max="3" width="20.6666666666667" style="4" customWidth="1"/>
    <col min="4" max="4" width="19.8916666666667" style="4" customWidth="1"/>
    <col min="5" max="5" width="15.225" style="4" customWidth="1"/>
    <col min="6" max="6" width="9.33333333333333" style="4" hidden="1" customWidth="1"/>
    <col min="7" max="7" width="16.225" style="4" hidden="1" customWidth="1"/>
    <col min="8" max="8" width="17.1083333333333" style="4" hidden="1" customWidth="1"/>
    <col min="9" max="9" width="9.33333333333333" style="4" hidden="1" customWidth="1"/>
    <col min="10" max="10" width="11.4416666666667" style="4" customWidth="1"/>
    <col min="11" max="11" width="16" style="4" customWidth="1"/>
    <col min="12" max="12" width="13.3333333333333" style="4" customWidth="1"/>
    <col min="13" max="13" width="14.1083333333333" style="4" customWidth="1"/>
    <col min="14" max="14" width="20.3333333333333" style="4" customWidth="1"/>
    <col min="15" max="15" width="10.225" style="4" customWidth="1"/>
    <col min="16" max="16" width="64.4416666666667" style="4" customWidth="1"/>
    <col min="17" max="17" width="13.775" style="4" customWidth="1"/>
    <col min="18" max="18" width="12.6666666666667" style="4" customWidth="1"/>
    <col min="19" max="19" width="10" style="4" customWidth="1"/>
    <col min="20" max="21" width="12.6666666666667" style="4"/>
    <col min="22" max="16384" width="9" style="4"/>
  </cols>
  <sheetData>
    <row r="1" ht="46.95" customHeight="1" spans="1:18">
      <c r="A1" s="5" t="s">
        <v>223</v>
      </c>
      <c r="B1" s="5"/>
      <c r="C1" s="5"/>
      <c r="D1" s="5"/>
      <c r="E1" s="5"/>
      <c r="F1" s="6"/>
      <c r="G1" s="6"/>
      <c r="H1" s="6"/>
      <c r="I1" s="6"/>
      <c r="J1" s="5"/>
      <c r="K1" s="5"/>
      <c r="L1" s="5"/>
      <c r="M1" s="5"/>
      <c r="N1" s="5"/>
      <c r="O1" s="5"/>
      <c r="P1" s="5"/>
      <c r="Q1" s="5"/>
      <c r="R1" s="5"/>
    </row>
    <row r="2" ht="17.25" spans="1:18">
      <c r="A2" s="7" t="s">
        <v>57</v>
      </c>
      <c r="B2" s="8" t="s">
        <v>58</v>
      </c>
      <c r="C2" s="8" t="s">
        <v>59</v>
      </c>
      <c r="D2" s="8" t="s">
        <v>224</v>
      </c>
      <c r="E2" s="8" t="s">
        <v>61</v>
      </c>
      <c r="F2" s="9" t="s">
        <v>225</v>
      </c>
      <c r="G2" s="8" t="s">
        <v>226</v>
      </c>
      <c r="H2" s="8" t="s">
        <v>227</v>
      </c>
      <c r="I2" s="12" t="s">
        <v>228</v>
      </c>
      <c r="J2" s="8" t="s">
        <v>64</v>
      </c>
      <c r="K2" s="13" t="s">
        <v>229</v>
      </c>
      <c r="L2" s="8" t="s">
        <v>230</v>
      </c>
      <c r="M2" s="8" t="s">
        <v>231</v>
      </c>
      <c r="N2" s="14" t="s">
        <v>66</v>
      </c>
      <c r="O2" s="14" t="s">
        <v>232</v>
      </c>
      <c r="P2" s="8" t="s">
        <v>233</v>
      </c>
      <c r="Q2" s="8" t="s">
        <v>234</v>
      </c>
      <c r="R2" s="8" t="s">
        <v>67</v>
      </c>
    </row>
    <row r="3" ht="17.25" hidden="1" spans="1:18">
      <c r="A3" s="7">
        <v>44838</v>
      </c>
      <c r="B3" s="8" t="s">
        <v>78</v>
      </c>
      <c r="C3" s="8" t="s">
        <v>79</v>
      </c>
      <c r="D3" s="8" t="s">
        <v>235</v>
      </c>
      <c r="E3" s="8" t="s">
        <v>145</v>
      </c>
      <c r="F3" s="9"/>
      <c r="G3" s="8"/>
      <c r="H3" s="8"/>
      <c r="I3" s="12"/>
      <c r="J3" s="8">
        <v>24</v>
      </c>
      <c r="K3" s="13">
        <v>14</v>
      </c>
      <c r="L3" s="8" t="s">
        <v>236</v>
      </c>
      <c r="M3" s="8" t="s">
        <v>237</v>
      </c>
      <c r="N3" s="14" t="s">
        <v>238</v>
      </c>
      <c r="O3" s="14"/>
      <c r="P3" s="8" t="s">
        <v>239</v>
      </c>
      <c r="Q3" s="8"/>
      <c r="R3" s="8"/>
    </row>
    <row r="4" ht="17.25" hidden="1" spans="1:18">
      <c r="A4" s="7">
        <v>44838</v>
      </c>
      <c r="B4" s="8" t="s">
        <v>240</v>
      </c>
      <c r="C4" s="8" t="s">
        <v>241</v>
      </c>
      <c r="D4" s="8" t="s">
        <v>242</v>
      </c>
      <c r="E4" s="8" t="s">
        <v>77</v>
      </c>
      <c r="F4" s="9"/>
      <c r="G4" s="8"/>
      <c r="H4" s="8"/>
      <c r="I4" s="12"/>
      <c r="J4" s="8">
        <v>16</v>
      </c>
      <c r="K4" s="13">
        <v>64</v>
      </c>
      <c r="L4" s="8" t="s">
        <v>236</v>
      </c>
      <c r="M4" s="8" t="s">
        <v>237</v>
      </c>
      <c r="N4" s="14" t="s">
        <v>238</v>
      </c>
      <c r="O4" s="14"/>
      <c r="P4" s="8" t="s">
        <v>243</v>
      </c>
      <c r="Q4" s="8"/>
      <c r="R4" s="8"/>
    </row>
    <row r="5" ht="17.25" hidden="1" spans="1:18">
      <c r="A5" s="7">
        <v>44838</v>
      </c>
      <c r="B5" s="8" t="s">
        <v>244</v>
      </c>
      <c r="C5" s="8" t="s">
        <v>245</v>
      </c>
      <c r="D5" s="8" t="s">
        <v>246</v>
      </c>
      <c r="E5" s="8" t="s">
        <v>95</v>
      </c>
      <c r="F5" s="9"/>
      <c r="G5" s="8"/>
      <c r="H5" s="8"/>
      <c r="I5" s="12"/>
      <c r="J5" s="8">
        <v>34</v>
      </c>
      <c r="K5" s="13">
        <v>442</v>
      </c>
      <c r="L5" s="8" t="s">
        <v>236</v>
      </c>
      <c r="M5" s="15" t="s">
        <v>247</v>
      </c>
      <c r="N5" s="14" t="s">
        <v>248</v>
      </c>
      <c r="O5" s="14"/>
      <c r="P5" s="8" t="s">
        <v>249</v>
      </c>
      <c r="Q5" s="8"/>
      <c r="R5" s="8"/>
    </row>
    <row r="6" ht="17.25" hidden="1" spans="1:18">
      <c r="A6" s="7">
        <v>44838</v>
      </c>
      <c r="B6" s="8" t="s">
        <v>250</v>
      </c>
      <c r="C6" s="8" t="s">
        <v>251</v>
      </c>
      <c r="D6" s="8" t="s">
        <v>252</v>
      </c>
      <c r="E6" s="8" t="s">
        <v>135</v>
      </c>
      <c r="F6" s="9"/>
      <c r="G6" s="8"/>
      <c r="H6" s="8"/>
      <c r="I6" s="12"/>
      <c r="J6" s="8">
        <v>39</v>
      </c>
      <c r="K6" s="13">
        <v>65</v>
      </c>
      <c r="L6" s="8" t="s">
        <v>236</v>
      </c>
      <c r="M6" s="8" t="s">
        <v>237</v>
      </c>
      <c r="N6" s="14" t="s">
        <v>238</v>
      </c>
      <c r="O6" s="14"/>
      <c r="P6" s="8" t="s">
        <v>253</v>
      </c>
      <c r="Q6" s="8"/>
      <c r="R6" s="8"/>
    </row>
    <row r="7" ht="17.25" hidden="1" spans="1:18">
      <c r="A7" s="7">
        <v>44838</v>
      </c>
      <c r="B7" s="8" t="s">
        <v>254</v>
      </c>
      <c r="C7" s="8" t="s">
        <v>255</v>
      </c>
      <c r="D7" s="8" t="s">
        <v>256</v>
      </c>
      <c r="E7" s="8" t="s">
        <v>81</v>
      </c>
      <c r="F7" s="9"/>
      <c r="G7" s="8"/>
      <c r="H7" s="8"/>
      <c r="I7" s="12"/>
      <c r="J7" s="8">
        <v>41</v>
      </c>
      <c r="K7" s="13">
        <v>5.46</v>
      </c>
      <c r="L7" s="8" t="s">
        <v>236</v>
      </c>
      <c r="M7" s="8" t="s">
        <v>237</v>
      </c>
      <c r="N7" s="14" t="s">
        <v>238</v>
      </c>
      <c r="O7" s="14"/>
      <c r="P7" s="8" t="s">
        <v>257</v>
      </c>
      <c r="Q7" s="8"/>
      <c r="R7" s="8"/>
    </row>
    <row r="8" ht="17.25" hidden="1" spans="1:18">
      <c r="A8" s="7">
        <v>44838</v>
      </c>
      <c r="B8" s="8" t="s">
        <v>254</v>
      </c>
      <c r="C8" s="8" t="s">
        <v>255</v>
      </c>
      <c r="D8" s="8" t="s">
        <v>258</v>
      </c>
      <c r="E8" s="8" t="s">
        <v>81</v>
      </c>
      <c r="F8" s="9"/>
      <c r="G8" s="8"/>
      <c r="H8" s="8"/>
      <c r="I8" s="12"/>
      <c r="J8" s="8">
        <v>41</v>
      </c>
      <c r="K8" s="13">
        <v>5.46</v>
      </c>
      <c r="L8" s="8" t="s">
        <v>236</v>
      </c>
      <c r="M8" s="8" t="s">
        <v>237</v>
      </c>
      <c r="N8" s="14" t="s">
        <v>238</v>
      </c>
      <c r="O8" s="14"/>
      <c r="P8" s="8" t="s">
        <v>257</v>
      </c>
      <c r="Q8" s="8"/>
      <c r="R8" s="8"/>
    </row>
    <row r="9" ht="17.25" hidden="1" spans="1:18">
      <c r="A9" s="7">
        <v>44838</v>
      </c>
      <c r="B9" s="8" t="s">
        <v>254</v>
      </c>
      <c r="C9" s="8" t="s">
        <v>255</v>
      </c>
      <c r="D9" s="8" t="s">
        <v>259</v>
      </c>
      <c r="E9" s="8" t="s">
        <v>81</v>
      </c>
      <c r="F9" s="9"/>
      <c r="G9" s="8"/>
      <c r="H9" s="8"/>
      <c r="I9" s="12"/>
      <c r="J9" s="8">
        <v>41</v>
      </c>
      <c r="K9" s="13">
        <v>5.46</v>
      </c>
      <c r="L9" s="8" t="s">
        <v>236</v>
      </c>
      <c r="M9" s="8" t="s">
        <v>237</v>
      </c>
      <c r="N9" s="14" t="s">
        <v>238</v>
      </c>
      <c r="O9" s="14"/>
      <c r="P9" s="8" t="s">
        <v>257</v>
      </c>
      <c r="Q9" s="8"/>
      <c r="R9" s="8"/>
    </row>
    <row r="10" ht="17.25" hidden="1" spans="1:18">
      <c r="A10" s="7">
        <v>44838</v>
      </c>
      <c r="B10" s="8" t="s">
        <v>260</v>
      </c>
      <c r="C10" s="8" t="s">
        <v>261</v>
      </c>
      <c r="D10" s="8" t="s">
        <v>262</v>
      </c>
      <c r="E10" s="8" t="s">
        <v>143</v>
      </c>
      <c r="F10" s="9"/>
      <c r="G10" s="8"/>
      <c r="H10" s="8"/>
      <c r="I10" s="12"/>
      <c r="J10" s="8">
        <v>21</v>
      </c>
      <c r="K10" s="13">
        <v>111.6</v>
      </c>
      <c r="L10" s="8" t="s">
        <v>236</v>
      </c>
      <c r="M10" s="8" t="s">
        <v>237</v>
      </c>
      <c r="N10" s="14" t="s">
        <v>263</v>
      </c>
      <c r="O10" s="14"/>
      <c r="P10" s="8" t="s">
        <v>264</v>
      </c>
      <c r="Q10" s="8"/>
      <c r="R10" s="8"/>
    </row>
    <row r="11" ht="17.25" hidden="1" spans="1:18">
      <c r="A11" s="7">
        <v>44838</v>
      </c>
      <c r="B11" s="8" t="s">
        <v>265</v>
      </c>
      <c r="C11" s="8" t="s">
        <v>266</v>
      </c>
      <c r="D11" s="8" t="s">
        <v>267</v>
      </c>
      <c r="E11" s="8" t="s">
        <v>143</v>
      </c>
      <c r="F11" s="9"/>
      <c r="G11" s="8"/>
      <c r="H11" s="8"/>
      <c r="I11" s="12"/>
      <c r="J11" s="8">
        <v>21</v>
      </c>
      <c r="K11" s="13">
        <v>136.5</v>
      </c>
      <c r="L11" s="8" t="s">
        <v>236</v>
      </c>
      <c r="M11" s="8" t="s">
        <v>237</v>
      </c>
      <c r="N11" s="14" t="s">
        <v>263</v>
      </c>
      <c r="O11" s="14"/>
      <c r="P11" s="8" t="s">
        <v>268</v>
      </c>
      <c r="Q11" s="8"/>
      <c r="R11" s="8"/>
    </row>
    <row r="12" ht="17.25" hidden="1" spans="1:18">
      <c r="A12" s="7">
        <v>44838</v>
      </c>
      <c r="B12" s="8" t="s">
        <v>269</v>
      </c>
      <c r="C12" s="8" t="s">
        <v>270</v>
      </c>
      <c r="D12" s="8" t="s">
        <v>271</v>
      </c>
      <c r="E12" s="8" t="s">
        <v>141</v>
      </c>
      <c r="F12" s="9"/>
      <c r="G12" s="8"/>
      <c r="H12" s="8"/>
      <c r="I12" s="12"/>
      <c r="J12" s="8">
        <v>42</v>
      </c>
      <c r="K12" s="13">
        <v>106.4</v>
      </c>
      <c r="L12" s="8" t="s">
        <v>236</v>
      </c>
      <c r="M12" s="8" t="s">
        <v>237</v>
      </c>
      <c r="N12" s="14" t="s">
        <v>263</v>
      </c>
      <c r="O12" s="14"/>
      <c r="P12" s="8" t="s">
        <v>272</v>
      </c>
      <c r="Q12" s="8"/>
      <c r="R12" s="8"/>
    </row>
    <row r="13" ht="17.25" hidden="1" spans="1:18">
      <c r="A13" s="7">
        <v>44838</v>
      </c>
      <c r="B13" s="8" t="s">
        <v>273</v>
      </c>
      <c r="C13" s="8" t="s">
        <v>274</v>
      </c>
      <c r="D13" s="8" t="s">
        <v>262</v>
      </c>
      <c r="E13" s="8" t="s">
        <v>143</v>
      </c>
      <c r="F13" s="9"/>
      <c r="G13" s="8"/>
      <c r="H13" s="8"/>
      <c r="I13" s="12"/>
      <c r="J13" s="8">
        <v>20</v>
      </c>
      <c r="K13" s="13">
        <v>143</v>
      </c>
      <c r="L13" s="8" t="s">
        <v>236</v>
      </c>
      <c r="M13" s="8" t="s">
        <v>237</v>
      </c>
      <c r="N13" s="14" t="s">
        <v>263</v>
      </c>
      <c r="O13" s="14"/>
      <c r="P13" s="8" t="s">
        <v>275</v>
      </c>
      <c r="Q13" s="8"/>
      <c r="R13" s="8"/>
    </row>
    <row r="14" ht="17.25" hidden="1" spans="1:18">
      <c r="A14" s="7">
        <v>44838</v>
      </c>
      <c r="B14" s="8" t="s">
        <v>273</v>
      </c>
      <c r="C14" s="8" t="s">
        <v>274</v>
      </c>
      <c r="D14" s="8" t="s">
        <v>262</v>
      </c>
      <c r="E14" s="8" t="s">
        <v>143</v>
      </c>
      <c r="F14" s="9"/>
      <c r="G14" s="8"/>
      <c r="H14" s="8"/>
      <c r="I14" s="12"/>
      <c r="J14" s="8">
        <v>20</v>
      </c>
      <c r="K14" s="13">
        <v>91</v>
      </c>
      <c r="L14" s="8" t="s">
        <v>236</v>
      </c>
      <c r="M14" s="8" t="s">
        <v>237</v>
      </c>
      <c r="N14" s="14" t="s">
        <v>263</v>
      </c>
      <c r="O14" s="14"/>
      <c r="P14" s="8" t="s">
        <v>276</v>
      </c>
      <c r="Q14" s="8"/>
      <c r="R14" s="8"/>
    </row>
    <row r="15" ht="17.25" hidden="1" spans="1:18">
      <c r="A15" s="7">
        <v>44838</v>
      </c>
      <c r="B15" s="8" t="s">
        <v>277</v>
      </c>
      <c r="C15" s="8" t="s">
        <v>278</v>
      </c>
      <c r="D15" s="8" t="s">
        <v>279</v>
      </c>
      <c r="E15" s="8" t="s">
        <v>141</v>
      </c>
      <c r="F15" s="9"/>
      <c r="G15" s="8"/>
      <c r="H15" s="8"/>
      <c r="I15" s="12"/>
      <c r="J15" s="8">
        <v>40</v>
      </c>
      <c r="K15" s="13">
        <v>5.3</v>
      </c>
      <c r="L15" s="8" t="s">
        <v>236</v>
      </c>
      <c r="M15" s="8" t="s">
        <v>237</v>
      </c>
      <c r="N15" s="14" t="s">
        <v>238</v>
      </c>
      <c r="O15" s="14"/>
      <c r="P15" s="8" t="s">
        <v>280</v>
      </c>
      <c r="Q15" s="8"/>
      <c r="R15" s="8"/>
    </row>
    <row r="16" ht="17.25" hidden="1" spans="1:18">
      <c r="A16" s="7">
        <v>44838</v>
      </c>
      <c r="B16" s="8" t="s">
        <v>281</v>
      </c>
      <c r="C16" s="8" t="s">
        <v>282</v>
      </c>
      <c r="D16" s="8" t="s">
        <v>283</v>
      </c>
      <c r="E16" s="8" t="s">
        <v>142</v>
      </c>
      <c r="F16" s="9"/>
      <c r="G16" s="8"/>
      <c r="H16" s="8"/>
      <c r="I16" s="12"/>
      <c r="J16" s="8">
        <v>44</v>
      </c>
      <c r="K16" s="13">
        <v>50.2</v>
      </c>
      <c r="L16" s="8" t="s">
        <v>236</v>
      </c>
      <c r="M16" s="8" t="s">
        <v>237</v>
      </c>
      <c r="N16" s="14" t="s">
        <v>263</v>
      </c>
      <c r="O16" s="14"/>
      <c r="P16" s="8" t="s">
        <v>284</v>
      </c>
      <c r="Q16" s="8"/>
      <c r="R16" s="8"/>
    </row>
    <row r="17" ht="17.25" hidden="1" spans="1:18">
      <c r="A17" s="7">
        <v>44838</v>
      </c>
      <c r="B17" s="8" t="s">
        <v>281</v>
      </c>
      <c r="C17" s="8" t="s">
        <v>282</v>
      </c>
      <c r="D17" s="8" t="s">
        <v>283</v>
      </c>
      <c r="E17" s="8" t="s">
        <v>142</v>
      </c>
      <c r="F17" s="9"/>
      <c r="G17" s="8"/>
      <c r="H17" s="8"/>
      <c r="I17" s="12"/>
      <c r="J17" s="8">
        <v>44</v>
      </c>
      <c r="K17" s="13">
        <v>14.6</v>
      </c>
      <c r="L17" s="8" t="s">
        <v>236</v>
      </c>
      <c r="M17" s="8" t="s">
        <v>237</v>
      </c>
      <c r="N17" s="14" t="s">
        <v>238</v>
      </c>
      <c r="O17" s="14"/>
      <c r="P17" s="8" t="s">
        <v>285</v>
      </c>
      <c r="Q17" s="8"/>
      <c r="R17" s="8"/>
    </row>
    <row r="18" ht="17.25" hidden="1" spans="1:18">
      <c r="A18" s="7">
        <v>44838</v>
      </c>
      <c r="B18" s="8" t="s">
        <v>286</v>
      </c>
      <c r="C18" s="8" t="s">
        <v>287</v>
      </c>
      <c r="D18" s="8" t="s">
        <v>288</v>
      </c>
      <c r="E18" s="8" t="s">
        <v>142</v>
      </c>
      <c r="F18" s="9"/>
      <c r="G18" s="8"/>
      <c r="H18" s="8"/>
      <c r="I18" s="12"/>
      <c r="J18" s="8">
        <v>44</v>
      </c>
      <c r="K18" s="13">
        <v>14.6</v>
      </c>
      <c r="L18" s="8" t="s">
        <v>236</v>
      </c>
      <c r="M18" s="8" t="s">
        <v>237</v>
      </c>
      <c r="N18" s="14" t="s">
        <v>238</v>
      </c>
      <c r="O18" s="14"/>
      <c r="P18" s="8" t="s">
        <v>285</v>
      </c>
      <c r="Q18" s="8"/>
      <c r="R18" s="8"/>
    </row>
    <row r="19" ht="17.25" hidden="1" spans="1:18">
      <c r="A19" s="7">
        <v>44838</v>
      </c>
      <c r="B19" s="8" t="s">
        <v>286</v>
      </c>
      <c r="C19" s="8" t="s">
        <v>287</v>
      </c>
      <c r="D19" s="8" t="s">
        <v>288</v>
      </c>
      <c r="E19" s="8" t="s">
        <v>142</v>
      </c>
      <c r="F19" s="9"/>
      <c r="G19" s="8"/>
      <c r="H19" s="8"/>
      <c r="I19" s="12"/>
      <c r="J19" s="8">
        <v>44</v>
      </c>
      <c r="K19" s="13">
        <v>96</v>
      </c>
      <c r="L19" s="8" t="s">
        <v>236</v>
      </c>
      <c r="M19" s="8" t="s">
        <v>237</v>
      </c>
      <c r="N19" s="14" t="s">
        <v>263</v>
      </c>
      <c r="O19" s="14"/>
      <c r="P19" s="8" t="s">
        <v>289</v>
      </c>
      <c r="Q19" s="8"/>
      <c r="R19" s="8"/>
    </row>
    <row r="20" ht="17.25" hidden="1" spans="1:18">
      <c r="A20" s="7">
        <v>44838</v>
      </c>
      <c r="B20" s="8" t="s">
        <v>290</v>
      </c>
      <c r="C20" s="8" t="s">
        <v>291</v>
      </c>
      <c r="D20" s="8" t="s">
        <v>292</v>
      </c>
      <c r="E20" s="8" t="s">
        <v>132</v>
      </c>
      <c r="F20" s="9"/>
      <c r="G20" s="8"/>
      <c r="H20" s="8"/>
      <c r="I20" s="12"/>
      <c r="J20" s="8">
        <v>36</v>
      </c>
      <c r="K20" s="13">
        <v>4.8</v>
      </c>
      <c r="L20" s="8" t="s">
        <v>236</v>
      </c>
      <c r="M20" s="8" t="s">
        <v>237</v>
      </c>
      <c r="N20" s="14" t="s">
        <v>238</v>
      </c>
      <c r="O20" s="14"/>
      <c r="P20" s="8" t="s">
        <v>293</v>
      </c>
      <c r="Q20" s="8"/>
      <c r="R20" s="8"/>
    </row>
    <row r="21" ht="17.25" hidden="1" spans="1:18">
      <c r="A21" s="7">
        <v>44838</v>
      </c>
      <c r="B21" s="8" t="s">
        <v>294</v>
      </c>
      <c r="C21" s="8" t="s">
        <v>295</v>
      </c>
      <c r="D21" s="8" t="s">
        <v>296</v>
      </c>
      <c r="E21" s="8" t="s">
        <v>137</v>
      </c>
      <c r="F21" s="9"/>
      <c r="G21" s="8"/>
      <c r="H21" s="8"/>
      <c r="I21" s="12"/>
      <c r="J21" s="8">
        <v>35</v>
      </c>
      <c r="K21" s="13">
        <v>70</v>
      </c>
      <c r="L21" s="8" t="s">
        <v>236</v>
      </c>
      <c r="M21" s="8" t="s">
        <v>237</v>
      </c>
      <c r="N21" s="14" t="s">
        <v>238</v>
      </c>
      <c r="O21" s="14"/>
      <c r="P21" s="8" t="s">
        <v>297</v>
      </c>
      <c r="Q21" s="8"/>
      <c r="R21" s="8"/>
    </row>
    <row r="22" ht="17.25" hidden="1" spans="1:18">
      <c r="A22" s="7">
        <v>44838</v>
      </c>
      <c r="B22" s="8" t="s">
        <v>294</v>
      </c>
      <c r="C22" s="8" t="s">
        <v>295</v>
      </c>
      <c r="D22" s="8" t="s">
        <v>296</v>
      </c>
      <c r="E22" s="8" t="s">
        <v>137</v>
      </c>
      <c r="F22" s="9"/>
      <c r="G22" s="8"/>
      <c r="H22" s="8"/>
      <c r="I22" s="12"/>
      <c r="J22" s="8">
        <v>35</v>
      </c>
      <c r="K22" s="13">
        <v>126</v>
      </c>
      <c r="L22" s="8" t="s">
        <v>236</v>
      </c>
      <c r="M22" s="8" t="s">
        <v>237</v>
      </c>
      <c r="N22" s="14" t="s">
        <v>263</v>
      </c>
      <c r="O22" s="14"/>
      <c r="P22" s="8" t="s">
        <v>298</v>
      </c>
      <c r="Q22" s="8"/>
      <c r="R22" s="8"/>
    </row>
    <row r="23" ht="17.25" hidden="1" spans="1:18">
      <c r="A23" s="7">
        <v>44838</v>
      </c>
      <c r="B23" s="8" t="s">
        <v>299</v>
      </c>
      <c r="C23" s="8" t="s">
        <v>300</v>
      </c>
      <c r="D23" s="8" t="s">
        <v>301</v>
      </c>
      <c r="E23" s="8" t="s">
        <v>135</v>
      </c>
      <c r="F23" s="9"/>
      <c r="G23" s="8"/>
      <c r="H23" s="8"/>
      <c r="I23" s="12"/>
      <c r="J23" s="8">
        <v>35</v>
      </c>
      <c r="K23" s="13">
        <v>14.6</v>
      </c>
      <c r="L23" s="8" t="s">
        <v>236</v>
      </c>
      <c r="M23" s="8" t="s">
        <v>237</v>
      </c>
      <c r="N23" s="14" t="s">
        <v>238</v>
      </c>
      <c r="O23" s="14"/>
      <c r="P23" s="8" t="s">
        <v>302</v>
      </c>
      <c r="Q23" s="8"/>
      <c r="R23" s="8"/>
    </row>
    <row r="24" ht="17.25" hidden="1" spans="1:18">
      <c r="A24" s="7">
        <v>44838</v>
      </c>
      <c r="B24" s="8" t="s">
        <v>299</v>
      </c>
      <c r="C24" s="8" t="s">
        <v>300</v>
      </c>
      <c r="D24" s="8" t="s">
        <v>303</v>
      </c>
      <c r="E24" s="8" t="s">
        <v>135</v>
      </c>
      <c r="F24" s="9"/>
      <c r="G24" s="8"/>
      <c r="H24" s="8"/>
      <c r="I24" s="12"/>
      <c r="J24" s="8">
        <v>35</v>
      </c>
      <c r="K24" s="13">
        <v>14.6</v>
      </c>
      <c r="L24" s="8" t="s">
        <v>236</v>
      </c>
      <c r="M24" s="8" t="s">
        <v>237</v>
      </c>
      <c r="N24" s="14" t="s">
        <v>238</v>
      </c>
      <c r="O24" s="14"/>
      <c r="P24" s="8" t="s">
        <v>302</v>
      </c>
      <c r="Q24" s="8"/>
      <c r="R24" s="8"/>
    </row>
    <row r="25" ht="17.25" spans="1:18">
      <c r="A25" s="7">
        <v>44838</v>
      </c>
      <c r="B25" s="8" t="s">
        <v>299</v>
      </c>
      <c r="C25" s="8" t="s">
        <v>300</v>
      </c>
      <c r="D25" s="8" t="s">
        <v>303</v>
      </c>
      <c r="E25" s="8" t="s">
        <v>135</v>
      </c>
      <c r="F25" s="9"/>
      <c r="G25" s="8"/>
      <c r="H25" s="8"/>
      <c r="I25" s="12"/>
      <c r="J25" s="8">
        <v>2</v>
      </c>
      <c r="K25" s="13">
        <v>24</v>
      </c>
      <c r="L25" s="8" t="s">
        <v>304</v>
      </c>
      <c r="M25" s="8" t="s">
        <v>305</v>
      </c>
      <c r="N25" s="14" t="s">
        <v>306</v>
      </c>
      <c r="O25" s="14"/>
      <c r="P25" s="8" t="s">
        <v>307</v>
      </c>
      <c r="Q25" s="8"/>
      <c r="R25" s="8"/>
    </row>
    <row r="26" ht="17.25" hidden="1" spans="1:18">
      <c r="A26" s="7">
        <v>44838</v>
      </c>
      <c r="B26" s="8" t="s">
        <v>308</v>
      </c>
      <c r="C26" s="8" t="s">
        <v>291</v>
      </c>
      <c r="D26" s="8" t="s">
        <v>309</v>
      </c>
      <c r="E26" s="8" t="s">
        <v>137</v>
      </c>
      <c r="F26" s="9"/>
      <c r="G26" s="8"/>
      <c r="H26" s="8"/>
      <c r="I26" s="12"/>
      <c r="J26" s="8">
        <v>34</v>
      </c>
      <c r="K26" s="13">
        <v>17.5</v>
      </c>
      <c r="L26" s="8" t="s">
        <v>236</v>
      </c>
      <c r="M26" s="8" t="s">
        <v>237</v>
      </c>
      <c r="N26" s="14" t="s">
        <v>263</v>
      </c>
      <c r="O26" s="14"/>
      <c r="P26" s="8" t="s">
        <v>310</v>
      </c>
      <c r="Q26" s="8"/>
      <c r="R26" s="8"/>
    </row>
    <row r="27" ht="17.25" hidden="1" spans="1:18">
      <c r="A27" s="7">
        <v>44838</v>
      </c>
      <c r="B27" s="8" t="s">
        <v>311</v>
      </c>
      <c r="C27" s="8" t="s">
        <v>312</v>
      </c>
      <c r="D27" s="8" t="s">
        <v>313</v>
      </c>
      <c r="E27" s="8" t="s">
        <v>135</v>
      </c>
      <c r="F27" s="9"/>
      <c r="G27" s="8"/>
      <c r="H27" s="8"/>
      <c r="I27" s="12"/>
      <c r="J27" s="8">
        <v>36</v>
      </c>
      <c r="K27" s="13">
        <v>177.65</v>
      </c>
      <c r="L27" s="8" t="s">
        <v>236</v>
      </c>
      <c r="M27" s="8" t="s">
        <v>237</v>
      </c>
      <c r="N27" s="14" t="s">
        <v>263</v>
      </c>
      <c r="O27" s="14"/>
      <c r="P27" s="8" t="s">
        <v>314</v>
      </c>
      <c r="Q27" s="8"/>
      <c r="R27" s="8"/>
    </row>
    <row r="28" ht="17.25" hidden="1" spans="1:18">
      <c r="A28" s="7">
        <v>44838</v>
      </c>
      <c r="B28" s="8" t="s">
        <v>311</v>
      </c>
      <c r="C28" s="8" t="s">
        <v>312</v>
      </c>
      <c r="D28" s="8" t="s">
        <v>313</v>
      </c>
      <c r="E28" s="8" t="s">
        <v>135</v>
      </c>
      <c r="F28" s="9"/>
      <c r="G28" s="8"/>
      <c r="H28" s="8"/>
      <c r="I28" s="12"/>
      <c r="J28" s="8">
        <v>31</v>
      </c>
      <c r="K28" s="13">
        <v>13</v>
      </c>
      <c r="L28" s="8" t="s">
        <v>236</v>
      </c>
      <c r="M28" s="8" t="s">
        <v>237</v>
      </c>
      <c r="N28" s="14" t="s">
        <v>238</v>
      </c>
      <c r="O28" s="14"/>
      <c r="P28" s="8" t="s">
        <v>315</v>
      </c>
      <c r="Q28" s="8"/>
      <c r="R28" s="8"/>
    </row>
    <row r="29" ht="17.25" hidden="1" spans="1:18">
      <c r="A29" s="7">
        <v>44838</v>
      </c>
      <c r="B29" s="8" t="s">
        <v>316</v>
      </c>
      <c r="C29" s="8" t="s">
        <v>317</v>
      </c>
      <c r="D29" s="8" t="s">
        <v>318</v>
      </c>
      <c r="E29" s="8" t="s">
        <v>136</v>
      </c>
      <c r="F29" s="9"/>
      <c r="G29" s="8"/>
      <c r="H29" s="8"/>
      <c r="I29" s="12"/>
      <c r="J29" s="8">
        <v>38</v>
      </c>
      <c r="K29" s="13">
        <v>5</v>
      </c>
      <c r="L29" s="8" t="s">
        <v>236</v>
      </c>
      <c r="M29" s="8" t="s">
        <v>237</v>
      </c>
      <c r="N29" s="14" t="s">
        <v>238</v>
      </c>
      <c r="O29" s="14"/>
      <c r="P29" s="8" t="s">
        <v>319</v>
      </c>
      <c r="Q29" s="8"/>
      <c r="R29" s="8"/>
    </row>
    <row r="30" ht="17.25" hidden="1" spans="1:18">
      <c r="A30" s="7">
        <v>44838</v>
      </c>
      <c r="B30" s="8" t="s">
        <v>320</v>
      </c>
      <c r="C30" s="8" t="s">
        <v>321</v>
      </c>
      <c r="D30" s="8" t="s">
        <v>322</v>
      </c>
      <c r="E30" s="8" t="s">
        <v>149</v>
      </c>
      <c r="F30" s="9"/>
      <c r="G30" s="8"/>
      <c r="H30" s="8"/>
      <c r="I30" s="12"/>
      <c r="J30" s="8">
        <v>20</v>
      </c>
      <c r="K30" s="13">
        <v>183.95</v>
      </c>
      <c r="L30" s="8" t="s">
        <v>236</v>
      </c>
      <c r="M30" s="8" t="s">
        <v>237</v>
      </c>
      <c r="N30" s="14" t="s">
        <v>263</v>
      </c>
      <c r="O30" s="14"/>
      <c r="P30" s="8" t="s">
        <v>323</v>
      </c>
      <c r="Q30" s="8"/>
      <c r="R30" s="8"/>
    </row>
    <row r="31" ht="17.25" hidden="1" spans="1:18">
      <c r="A31" s="7">
        <v>44838</v>
      </c>
      <c r="B31" s="8" t="s">
        <v>320</v>
      </c>
      <c r="C31" s="8" t="s">
        <v>321</v>
      </c>
      <c r="D31" s="8" t="s">
        <v>322</v>
      </c>
      <c r="E31" s="8" t="s">
        <v>149</v>
      </c>
      <c r="F31" s="9"/>
      <c r="G31" s="8"/>
      <c r="H31" s="8"/>
      <c r="I31" s="12"/>
      <c r="J31" s="8">
        <v>22</v>
      </c>
      <c r="K31" s="13">
        <v>22</v>
      </c>
      <c r="L31" s="8" t="s">
        <v>236</v>
      </c>
      <c r="M31" s="8" t="s">
        <v>237</v>
      </c>
      <c r="N31" s="14" t="s">
        <v>238</v>
      </c>
      <c r="O31" s="14"/>
      <c r="P31" s="8" t="s">
        <v>324</v>
      </c>
      <c r="Q31" s="8"/>
      <c r="R31" s="8"/>
    </row>
    <row r="32" ht="17.25" hidden="1" spans="1:18">
      <c r="A32" s="7">
        <v>44838</v>
      </c>
      <c r="B32" s="8" t="s">
        <v>325</v>
      </c>
      <c r="C32" s="8" t="s">
        <v>321</v>
      </c>
      <c r="D32" s="8" t="s">
        <v>326</v>
      </c>
      <c r="E32" s="8" t="s">
        <v>137</v>
      </c>
      <c r="F32" s="9"/>
      <c r="G32" s="8"/>
      <c r="H32" s="8"/>
      <c r="I32" s="12"/>
      <c r="J32" s="8">
        <v>4</v>
      </c>
      <c r="K32" s="13">
        <v>52</v>
      </c>
      <c r="L32" s="8" t="s">
        <v>236</v>
      </c>
      <c r="M32" s="8" t="s">
        <v>327</v>
      </c>
      <c r="N32" s="14" t="s">
        <v>306</v>
      </c>
      <c r="O32" s="14"/>
      <c r="P32" s="8" t="s">
        <v>328</v>
      </c>
      <c r="Q32" s="8"/>
      <c r="R32" s="8"/>
    </row>
    <row r="33" ht="17.25" spans="1:18">
      <c r="A33" s="7">
        <v>44838</v>
      </c>
      <c r="B33" s="8" t="s">
        <v>329</v>
      </c>
      <c r="C33" s="8" t="s">
        <v>321</v>
      </c>
      <c r="D33" s="8" t="s">
        <v>313</v>
      </c>
      <c r="E33" s="8" t="s">
        <v>135</v>
      </c>
      <c r="F33" s="9"/>
      <c r="G33" s="8"/>
      <c r="H33" s="8"/>
      <c r="I33" s="12"/>
      <c r="J33" s="8">
        <v>1</v>
      </c>
      <c r="K33" s="13">
        <v>13</v>
      </c>
      <c r="L33" s="8" t="s">
        <v>304</v>
      </c>
      <c r="M33" s="16" t="s">
        <v>330</v>
      </c>
      <c r="N33" s="14" t="s">
        <v>331</v>
      </c>
      <c r="O33" s="14"/>
      <c r="P33" s="8" t="s">
        <v>332</v>
      </c>
      <c r="Q33" s="8"/>
      <c r="R33" s="8"/>
    </row>
    <row r="34" ht="17.25" hidden="1" spans="1:18">
      <c r="A34" s="7">
        <v>44838</v>
      </c>
      <c r="B34" s="8" t="s">
        <v>329</v>
      </c>
      <c r="C34" s="8" t="s">
        <v>321</v>
      </c>
      <c r="D34" s="8" t="s">
        <v>313</v>
      </c>
      <c r="E34" s="8" t="s">
        <v>135</v>
      </c>
      <c r="F34" s="9"/>
      <c r="G34" s="8"/>
      <c r="H34" s="8"/>
      <c r="I34" s="12"/>
      <c r="J34" s="8">
        <v>1</v>
      </c>
      <c r="K34" s="13">
        <v>13</v>
      </c>
      <c r="L34" s="8" t="s">
        <v>333</v>
      </c>
      <c r="M34" s="16" t="s">
        <v>334</v>
      </c>
      <c r="N34" s="14" t="s">
        <v>331</v>
      </c>
      <c r="O34" s="14"/>
      <c r="P34" s="8" t="s">
        <v>335</v>
      </c>
      <c r="Q34" s="8"/>
      <c r="R34" s="8"/>
    </row>
    <row r="35" ht="17.25" hidden="1" spans="1:18">
      <c r="A35" s="10">
        <v>44839</v>
      </c>
      <c r="B35" s="10" t="s">
        <v>78</v>
      </c>
      <c r="C35" s="10" t="s">
        <v>79</v>
      </c>
      <c r="D35" s="11" t="s">
        <v>336</v>
      </c>
      <c r="E35" s="11" t="s">
        <v>134</v>
      </c>
      <c r="F35" s="11">
        <v>13</v>
      </c>
      <c r="G35" s="11"/>
      <c r="H35" s="11"/>
      <c r="I35" s="11"/>
      <c r="J35" s="11">
        <v>23</v>
      </c>
      <c r="K35" s="17">
        <v>13</v>
      </c>
      <c r="L35" s="18" t="s">
        <v>236</v>
      </c>
      <c r="M35" s="16" t="s">
        <v>237</v>
      </c>
      <c r="N35" s="18" t="s">
        <v>238</v>
      </c>
      <c r="O35" s="14"/>
      <c r="P35" s="19" t="s">
        <v>337</v>
      </c>
      <c r="Q35" s="8"/>
      <c r="R35" s="8"/>
    </row>
    <row r="36" ht="17.25" hidden="1" spans="1:18">
      <c r="A36" s="10">
        <v>44839</v>
      </c>
      <c r="B36" s="10" t="s">
        <v>240</v>
      </c>
      <c r="C36" s="10" t="s">
        <v>241</v>
      </c>
      <c r="D36" s="11" t="s">
        <v>338</v>
      </c>
      <c r="E36" s="11" t="s">
        <v>77</v>
      </c>
      <c r="F36" s="11"/>
      <c r="G36" s="11"/>
      <c r="H36" s="11"/>
      <c r="I36" s="11"/>
      <c r="J36" s="11">
        <v>45</v>
      </c>
      <c r="K36" s="17">
        <v>82.5</v>
      </c>
      <c r="L36" s="18" t="s">
        <v>236</v>
      </c>
      <c r="M36" s="16" t="s">
        <v>237</v>
      </c>
      <c r="N36" s="18" t="s">
        <v>238</v>
      </c>
      <c r="O36" s="14"/>
      <c r="P36" s="19" t="s">
        <v>339</v>
      </c>
      <c r="Q36" s="8"/>
      <c r="R36" s="8"/>
    </row>
    <row r="37" ht="17.25" hidden="1" spans="1:18">
      <c r="A37" s="10">
        <v>44839</v>
      </c>
      <c r="B37" s="10" t="s">
        <v>244</v>
      </c>
      <c r="C37" s="10" t="s">
        <v>245</v>
      </c>
      <c r="D37" s="11" t="s">
        <v>340</v>
      </c>
      <c r="E37" s="11" t="s">
        <v>95</v>
      </c>
      <c r="F37" s="11"/>
      <c r="G37" s="11"/>
      <c r="H37" s="11"/>
      <c r="I37" s="11"/>
      <c r="J37" s="11">
        <v>38</v>
      </c>
      <c r="K37" s="17">
        <v>57</v>
      </c>
      <c r="L37" s="18" t="s">
        <v>236</v>
      </c>
      <c r="M37" s="15" t="s">
        <v>247</v>
      </c>
      <c r="N37" s="18" t="s">
        <v>248</v>
      </c>
      <c r="O37" s="14"/>
      <c r="P37" s="19" t="s">
        <v>248</v>
      </c>
      <c r="Q37" s="8"/>
      <c r="R37" s="8"/>
    </row>
    <row r="38" ht="17.25" hidden="1" spans="1:18">
      <c r="A38" s="10">
        <v>44839</v>
      </c>
      <c r="B38" s="10" t="s">
        <v>244</v>
      </c>
      <c r="C38" s="10" t="s">
        <v>245</v>
      </c>
      <c r="D38" s="11" t="s">
        <v>341</v>
      </c>
      <c r="E38" s="11" t="s">
        <v>81</v>
      </c>
      <c r="F38" s="11"/>
      <c r="G38" s="11"/>
      <c r="H38" s="11"/>
      <c r="I38" s="11"/>
      <c r="J38" s="11">
        <v>38</v>
      </c>
      <c r="K38" s="17">
        <v>38</v>
      </c>
      <c r="L38" s="18" t="s">
        <v>236</v>
      </c>
      <c r="M38" s="16" t="s">
        <v>237</v>
      </c>
      <c r="N38" s="18" t="s">
        <v>238</v>
      </c>
      <c r="O38" s="14"/>
      <c r="P38" s="19" t="s">
        <v>342</v>
      </c>
      <c r="Q38" s="8"/>
      <c r="R38" s="8"/>
    </row>
    <row r="39" ht="17.25" hidden="1" spans="1:18">
      <c r="A39" s="10">
        <v>44839</v>
      </c>
      <c r="B39" s="10" t="s">
        <v>250</v>
      </c>
      <c r="C39" s="10" t="s">
        <v>251</v>
      </c>
      <c r="D39" s="11" t="s">
        <v>343</v>
      </c>
      <c r="E39" s="11" t="s">
        <v>135</v>
      </c>
      <c r="F39" s="11"/>
      <c r="G39" s="11"/>
      <c r="H39" s="11"/>
      <c r="I39" s="11"/>
      <c r="J39" s="11">
        <v>66</v>
      </c>
      <c r="K39" s="17">
        <v>22</v>
      </c>
      <c r="L39" s="18" t="s">
        <v>236</v>
      </c>
      <c r="M39" s="16" t="s">
        <v>237</v>
      </c>
      <c r="N39" s="18" t="s">
        <v>238</v>
      </c>
      <c r="O39" s="14"/>
      <c r="P39" s="19" t="s">
        <v>344</v>
      </c>
      <c r="Q39" s="8"/>
      <c r="R39" s="8"/>
    </row>
    <row r="40" ht="17.25" hidden="1" spans="1:18">
      <c r="A40" s="10">
        <v>44839</v>
      </c>
      <c r="B40" s="10" t="s">
        <v>345</v>
      </c>
      <c r="C40" s="10" t="s">
        <v>346</v>
      </c>
      <c r="D40" s="11" t="s">
        <v>347</v>
      </c>
      <c r="E40" s="11" t="s">
        <v>141</v>
      </c>
      <c r="F40" s="11"/>
      <c r="G40" s="11"/>
      <c r="H40" s="11"/>
      <c r="I40" s="11"/>
      <c r="J40" s="11">
        <v>38</v>
      </c>
      <c r="K40" s="17">
        <v>12.6</v>
      </c>
      <c r="L40" s="18" t="s">
        <v>236</v>
      </c>
      <c r="M40" s="16" t="s">
        <v>237</v>
      </c>
      <c r="N40" s="18" t="s">
        <v>238</v>
      </c>
      <c r="O40" s="14"/>
      <c r="P40" s="19" t="s">
        <v>348</v>
      </c>
      <c r="Q40" s="8"/>
      <c r="R40" s="8"/>
    </row>
    <row r="41" ht="17.25" hidden="1" spans="1:18">
      <c r="A41" s="10">
        <v>44839</v>
      </c>
      <c r="B41" s="10" t="s">
        <v>345</v>
      </c>
      <c r="C41" s="10" t="s">
        <v>346</v>
      </c>
      <c r="D41" s="11" t="s">
        <v>347</v>
      </c>
      <c r="E41" s="11" t="s">
        <v>141</v>
      </c>
      <c r="F41" s="11"/>
      <c r="G41" s="11"/>
      <c r="H41" s="11"/>
      <c r="I41" s="11"/>
      <c r="J41" s="11">
        <v>42</v>
      </c>
      <c r="K41" s="17">
        <v>136.02</v>
      </c>
      <c r="L41" s="18" t="s">
        <v>236</v>
      </c>
      <c r="M41" s="16" t="s">
        <v>237</v>
      </c>
      <c r="N41" s="18" t="s">
        <v>263</v>
      </c>
      <c r="O41" s="14"/>
      <c r="P41" s="19" t="s">
        <v>349</v>
      </c>
      <c r="Q41" s="8"/>
      <c r="R41" s="8"/>
    </row>
    <row r="42" ht="17.25" hidden="1" spans="1:18">
      <c r="A42" s="10">
        <v>44839</v>
      </c>
      <c r="B42" s="10" t="s">
        <v>350</v>
      </c>
      <c r="C42" s="10" t="s">
        <v>351</v>
      </c>
      <c r="D42" s="11" t="s">
        <v>352</v>
      </c>
      <c r="E42" s="11" t="s">
        <v>146</v>
      </c>
      <c r="F42" s="11"/>
      <c r="G42" s="11"/>
      <c r="H42" s="11"/>
      <c r="I42" s="11"/>
      <c r="J42" s="11">
        <v>43</v>
      </c>
      <c r="K42" s="17">
        <v>113.25</v>
      </c>
      <c r="L42" s="18" t="s">
        <v>236</v>
      </c>
      <c r="M42" s="16" t="s">
        <v>237</v>
      </c>
      <c r="N42" s="18" t="s">
        <v>263</v>
      </c>
      <c r="O42" s="14"/>
      <c r="P42" s="19" t="s">
        <v>353</v>
      </c>
      <c r="Q42" s="8"/>
      <c r="R42" s="8"/>
    </row>
    <row r="43" ht="17.25" hidden="1" spans="1:18">
      <c r="A43" s="10">
        <v>44839</v>
      </c>
      <c r="B43" s="10" t="s">
        <v>350</v>
      </c>
      <c r="C43" s="10" t="s">
        <v>351</v>
      </c>
      <c r="D43" s="11" t="s">
        <v>352</v>
      </c>
      <c r="E43" s="11" t="s">
        <v>146</v>
      </c>
      <c r="F43" s="11"/>
      <c r="G43" s="11"/>
      <c r="H43" s="11"/>
      <c r="I43" s="11"/>
      <c r="J43" s="11">
        <v>1</v>
      </c>
      <c r="K43" s="17">
        <v>11</v>
      </c>
      <c r="L43" s="18" t="s">
        <v>354</v>
      </c>
      <c r="M43" s="16" t="s">
        <v>355</v>
      </c>
      <c r="N43" s="18" t="s">
        <v>306</v>
      </c>
      <c r="O43" s="14"/>
      <c r="P43" s="19" t="s">
        <v>356</v>
      </c>
      <c r="Q43" s="8"/>
      <c r="R43" s="8"/>
    </row>
    <row r="44" ht="17.25" hidden="1" spans="1:18">
      <c r="A44" s="10">
        <v>44839</v>
      </c>
      <c r="B44" s="10" t="s">
        <v>254</v>
      </c>
      <c r="C44" s="10" t="s">
        <v>255</v>
      </c>
      <c r="D44" s="11" t="s">
        <v>357</v>
      </c>
      <c r="E44" s="11" t="s">
        <v>141</v>
      </c>
      <c r="F44" s="11"/>
      <c r="G44" s="11"/>
      <c r="H44" s="11"/>
      <c r="I44" s="11"/>
      <c r="J44" s="11">
        <v>42</v>
      </c>
      <c r="K44" s="17">
        <v>5.6</v>
      </c>
      <c r="L44" s="18" t="s">
        <v>236</v>
      </c>
      <c r="M44" s="16" t="s">
        <v>237</v>
      </c>
      <c r="N44" s="18" t="s">
        <v>238</v>
      </c>
      <c r="O44" s="14"/>
      <c r="P44" s="19" t="s">
        <v>358</v>
      </c>
      <c r="Q44" s="8"/>
      <c r="R44" s="8"/>
    </row>
    <row r="45" ht="17.25" spans="1:18">
      <c r="A45" s="10">
        <v>44839</v>
      </c>
      <c r="B45" s="10" t="s">
        <v>254</v>
      </c>
      <c r="C45" s="10" t="s">
        <v>255</v>
      </c>
      <c r="D45" s="11" t="s">
        <v>357</v>
      </c>
      <c r="E45" s="11" t="s">
        <v>141</v>
      </c>
      <c r="F45" s="11"/>
      <c r="G45" s="11"/>
      <c r="H45" s="11"/>
      <c r="I45" s="11"/>
      <c r="J45" s="11">
        <v>1</v>
      </c>
      <c r="K45" s="17">
        <v>12</v>
      </c>
      <c r="L45" s="18" t="s">
        <v>304</v>
      </c>
      <c r="M45" s="15" t="s">
        <v>247</v>
      </c>
      <c r="N45" s="18" t="s">
        <v>306</v>
      </c>
      <c r="O45" s="14"/>
      <c r="P45" s="19" t="s">
        <v>359</v>
      </c>
      <c r="Q45" s="8"/>
      <c r="R45" s="8"/>
    </row>
    <row r="46" ht="17.25" hidden="1" spans="1:18">
      <c r="A46" s="10">
        <v>44839</v>
      </c>
      <c r="B46" s="10" t="s">
        <v>260</v>
      </c>
      <c r="C46" s="10" t="s">
        <v>270</v>
      </c>
      <c r="D46" s="11" t="s">
        <v>262</v>
      </c>
      <c r="E46" s="11" t="s">
        <v>143</v>
      </c>
      <c r="F46" s="11"/>
      <c r="G46" s="11"/>
      <c r="H46" s="11"/>
      <c r="I46" s="11"/>
      <c r="J46" s="11">
        <v>20</v>
      </c>
      <c r="K46" s="17">
        <v>8.33</v>
      </c>
      <c r="L46" s="18" t="s">
        <v>236</v>
      </c>
      <c r="M46" s="16" t="s">
        <v>237</v>
      </c>
      <c r="N46" s="18" t="s">
        <v>238</v>
      </c>
      <c r="O46" s="14"/>
      <c r="P46" s="19" t="s">
        <v>360</v>
      </c>
      <c r="Q46" s="8"/>
      <c r="R46" s="8"/>
    </row>
    <row r="47" ht="17.25" hidden="1" spans="1:18">
      <c r="A47" s="10">
        <v>44839</v>
      </c>
      <c r="B47" s="10" t="s">
        <v>260</v>
      </c>
      <c r="C47" s="10" t="s">
        <v>270</v>
      </c>
      <c r="D47" s="11" t="s">
        <v>262</v>
      </c>
      <c r="E47" s="11" t="s">
        <v>143</v>
      </c>
      <c r="F47" s="11"/>
      <c r="G47" s="11"/>
      <c r="H47" s="11"/>
      <c r="I47" s="11"/>
      <c r="J47" s="11">
        <v>21</v>
      </c>
      <c r="K47" s="17">
        <v>120.83</v>
      </c>
      <c r="L47" s="18" t="s">
        <v>236</v>
      </c>
      <c r="M47" s="16" t="s">
        <v>237</v>
      </c>
      <c r="N47" s="18" t="s">
        <v>263</v>
      </c>
      <c r="O47" s="14"/>
      <c r="P47" s="19" t="s">
        <v>361</v>
      </c>
      <c r="Q47" s="8"/>
      <c r="R47" s="8"/>
    </row>
    <row r="48" ht="17.25" hidden="1" spans="1:18">
      <c r="A48" s="10">
        <v>44839</v>
      </c>
      <c r="B48" s="10" t="s">
        <v>265</v>
      </c>
      <c r="C48" s="10" t="s">
        <v>266</v>
      </c>
      <c r="D48" s="11" t="s">
        <v>267</v>
      </c>
      <c r="E48" s="11" t="s">
        <v>143</v>
      </c>
      <c r="F48" s="11"/>
      <c r="G48" s="11"/>
      <c r="H48" s="11"/>
      <c r="I48" s="11"/>
      <c r="J48" s="11">
        <v>21</v>
      </c>
      <c r="K48" s="17">
        <v>119</v>
      </c>
      <c r="L48" s="18" t="s">
        <v>236</v>
      </c>
      <c r="M48" s="16" t="s">
        <v>237</v>
      </c>
      <c r="N48" s="18" t="s">
        <v>263</v>
      </c>
      <c r="O48" s="14"/>
      <c r="P48" s="19" t="s">
        <v>362</v>
      </c>
      <c r="Q48" s="8"/>
      <c r="R48" s="8"/>
    </row>
    <row r="49" ht="17.25" hidden="1" spans="1:18">
      <c r="A49" s="10">
        <v>44839</v>
      </c>
      <c r="B49" s="10" t="s">
        <v>269</v>
      </c>
      <c r="C49" s="10" t="s">
        <v>270</v>
      </c>
      <c r="D49" s="11" t="s">
        <v>271</v>
      </c>
      <c r="E49" s="11" t="s">
        <v>141</v>
      </c>
      <c r="F49" s="11"/>
      <c r="G49" s="11"/>
      <c r="H49" s="11"/>
      <c r="I49" s="11"/>
      <c r="J49" s="11">
        <v>42</v>
      </c>
      <c r="K49" s="17">
        <v>46.214</v>
      </c>
      <c r="L49" s="18" t="s">
        <v>236</v>
      </c>
      <c r="M49" s="16" t="s">
        <v>237</v>
      </c>
      <c r="N49" s="18" t="s">
        <v>263</v>
      </c>
      <c r="O49" s="14"/>
      <c r="P49" s="19" t="s">
        <v>363</v>
      </c>
      <c r="Q49" s="8"/>
      <c r="R49" s="8"/>
    </row>
    <row r="50" ht="17.25" spans="1:18">
      <c r="A50" s="10">
        <v>44839</v>
      </c>
      <c r="B50" s="10" t="s">
        <v>269</v>
      </c>
      <c r="C50" s="10" t="s">
        <v>270</v>
      </c>
      <c r="D50" s="11" t="s">
        <v>271</v>
      </c>
      <c r="E50" s="11" t="s">
        <v>141</v>
      </c>
      <c r="F50" s="11"/>
      <c r="G50" s="11"/>
      <c r="H50" s="11"/>
      <c r="I50" s="11"/>
      <c r="J50" s="11">
        <v>2</v>
      </c>
      <c r="K50" s="17">
        <v>24</v>
      </c>
      <c r="L50" s="18" t="s">
        <v>304</v>
      </c>
      <c r="M50" s="15" t="s">
        <v>247</v>
      </c>
      <c r="N50" s="18" t="s">
        <v>306</v>
      </c>
      <c r="O50" s="14"/>
      <c r="P50" s="19" t="s">
        <v>364</v>
      </c>
      <c r="Q50" s="8"/>
      <c r="R50" s="8"/>
    </row>
    <row r="51" ht="17.25" hidden="1" spans="1:18">
      <c r="A51" s="10">
        <v>44839</v>
      </c>
      <c r="B51" s="10" t="s">
        <v>269</v>
      </c>
      <c r="C51" s="10" t="s">
        <v>270</v>
      </c>
      <c r="D51" s="11" t="s">
        <v>271</v>
      </c>
      <c r="E51" s="11" t="s">
        <v>141</v>
      </c>
      <c r="F51" s="11"/>
      <c r="G51" s="11"/>
      <c r="H51" s="11"/>
      <c r="I51" s="11"/>
      <c r="J51" s="11">
        <v>44</v>
      </c>
      <c r="K51" s="17">
        <v>5.86</v>
      </c>
      <c r="L51" s="18" t="s">
        <v>236</v>
      </c>
      <c r="M51" s="16" t="s">
        <v>237</v>
      </c>
      <c r="N51" s="18" t="s">
        <v>238</v>
      </c>
      <c r="O51" s="14"/>
      <c r="P51" s="19" t="s">
        <v>365</v>
      </c>
      <c r="Q51" s="8"/>
      <c r="R51" s="8"/>
    </row>
    <row r="52" ht="17.25" hidden="1" spans="1:18">
      <c r="A52" s="10">
        <v>44839</v>
      </c>
      <c r="B52" s="10" t="s">
        <v>273</v>
      </c>
      <c r="C52" s="10" t="s">
        <v>274</v>
      </c>
      <c r="D52" s="11" t="s">
        <v>267</v>
      </c>
      <c r="E52" s="11" t="s">
        <v>143</v>
      </c>
      <c r="F52" s="11"/>
      <c r="G52" s="11"/>
      <c r="H52" s="11"/>
      <c r="I52" s="11"/>
      <c r="J52" s="11">
        <v>20</v>
      </c>
      <c r="K52" s="17">
        <v>240</v>
      </c>
      <c r="L52" s="18" t="s">
        <v>236</v>
      </c>
      <c r="M52" s="16" t="s">
        <v>237</v>
      </c>
      <c r="N52" s="18" t="s">
        <v>263</v>
      </c>
      <c r="O52" s="14"/>
      <c r="P52" s="19" t="s">
        <v>366</v>
      </c>
      <c r="Q52" s="8"/>
      <c r="R52" s="8"/>
    </row>
    <row r="53" ht="17.25" hidden="1" spans="1:18">
      <c r="A53" s="10">
        <v>44839</v>
      </c>
      <c r="B53" s="10" t="s">
        <v>277</v>
      </c>
      <c r="C53" s="10" t="s">
        <v>278</v>
      </c>
      <c r="D53" s="11" t="s">
        <v>367</v>
      </c>
      <c r="E53" s="11" t="s">
        <v>141</v>
      </c>
      <c r="F53" s="11"/>
      <c r="G53" s="11"/>
      <c r="H53" s="11"/>
      <c r="I53" s="11"/>
      <c r="J53" s="11">
        <v>41</v>
      </c>
      <c r="K53" s="17">
        <v>5.46</v>
      </c>
      <c r="L53" s="18" t="s">
        <v>236</v>
      </c>
      <c r="M53" s="16" t="s">
        <v>237</v>
      </c>
      <c r="N53" s="18" t="s">
        <v>238</v>
      </c>
      <c r="O53" s="14"/>
      <c r="P53" s="19" t="s">
        <v>368</v>
      </c>
      <c r="Q53" s="8"/>
      <c r="R53" s="8"/>
    </row>
    <row r="54" ht="17.25" hidden="1" spans="1:18">
      <c r="A54" s="10">
        <v>44839</v>
      </c>
      <c r="B54" s="10" t="s">
        <v>277</v>
      </c>
      <c r="C54" s="10" t="s">
        <v>278</v>
      </c>
      <c r="D54" s="11" t="s">
        <v>367</v>
      </c>
      <c r="E54" s="11" t="s">
        <v>141</v>
      </c>
      <c r="F54" s="11"/>
      <c r="G54" s="11"/>
      <c r="H54" s="11"/>
      <c r="I54" s="11"/>
      <c r="J54" s="11">
        <v>41</v>
      </c>
      <c r="K54" s="17">
        <v>5.46</v>
      </c>
      <c r="L54" s="18" t="s">
        <v>236</v>
      </c>
      <c r="M54" s="16" t="s">
        <v>237</v>
      </c>
      <c r="N54" s="18" t="s">
        <v>238</v>
      </c>
      <c r="O54" s="14"/>
      <c r="P54" s="19" t="s">
        <v>368</v>
      </c>
      <c r="Q54" s="8"/>
      <c r="R54" s="8"/>
    </row>
    <row r="55" ht="17.25" hidden="1" spans="1:18">
      <c r="A55" s="10">
        <v>44839</v>
      </c>
      <c r="B55" s="10" t="s">
        <v>369</v>
      </c>
      <c r="C55" s="10" t="s">
        <v>370</v>
      </c>
      <c r="D55" s="11" t="s">
        <v>371</v>
      </c>
      <c r="E55" s="11" t="s">
        <v>77</v>
      </c>
      <c r="F55" s="11"/>
      <c r="G55" s="11"/>
      <c r="H55" s="11"/>
      <c r="I55" s="11"/>
      <c r="J55" s="11">
        <v>44</v>
      </c>
      <c r="K55" s="17">
        <v>5.86</v>
      </c>
      <c r="L55" s="18" t="s">
        <v>236</v>
      </c>
      <c r="M55" s="16" t="s">
        <v>237</v>
      </c>
      <c r="N55" s="18" t="s">
        <v>238</v>
      </c>
      <c r="O55" s="14"/>
      <c r="P55" s="19" t="s">
        <v>365</v>
      </c>
      <c r="Q55" s="8"/>
      <c r="R55" s="8"/>
    </row>
    <row r="56" ht="17.25" hidden="1" spans="1:18">
      <c r="A56" s="10">
        <v>44839</v>
      </c>
      <c r="B56" s="10" t="s">
        <v>369</v>
      </c>
      <c r="C56" s="10" t="s">
        <v>370</v>
      </c>
      <c r="D56" s="11" t="s">
        <v>371</v>
      </c>
      <c r="E56" s="11" t="s">
        <v>77</v>
      </c>
      <c r="F56" s="11"/>
      <c r="G56" s="11"/>
      <c r="H56" s="11"/>
      <c r="I56" s="11"/>
      <c r="J56" s="11">
        <v>44</v>
      </c>
      <c r="K56" s="17">
        <v>5.86</v>
      </c>
      <c r="L56" s="18" t="s">
        <v>236</v>
      </c>
      <c r="M56" s="16" t="s">
        <v>237</v>
      </c>
      <c r="N56" s="18" t="s">
        <v>238</v>
      </c>
      <c r="O56" s="14"/>
      <c r="P56" s="19" t="s">
        <v>365</v>
      </c>
      <c r="Q56" s="8"/>
      <c r="R56" s="8"/>
    </row>
    <row r="57" ht="17.25" hidden="1" spans="1:18">
      <c r="A57" s="10">
        <v>44839</v>
      </c>
      <c r="B57" s="10" t="s">
        <v>369</v>
      </c>
      <c r="C57" s="10" t="s">
        <v>370</v>
      </c>
      <c r="D57" s="11" t="s">
        <v>371</v>
      </c>
      <c r="E57" s="11" t="s">
        <v>77</v>
      </c>
      <c r="F57" s="11"/>
      <c r="G57" s="11"/>
      <c r="H57" s="11"/>
      <c r="I57" s="11"/>
      <c r="J57" s="11">
        <v>45</v>
      </c>
      <c r="K57" s="17">
        <v>131.634</v>
      </c>
      <c r="L57" s="18" t="s">
        <v>236</v>
      </c>
      <c r="M57" s="16" t="s">
        <v>237</v>
      </c>
      <c r="N57" s="18" t="s">
        <v>263</v>
      </c>
      <c r="O57" s="14"/>
      <c r="P57" s="19" t="s">
        <v>372</v>
      </c>
      <c r="Q57" s="8"/>
      <c r="R57" s="8"/>
    </row>
    <row r="58" ht="17.25" hidden="1" spans="1:18">
      <c r="A58" s="10">
        <v>44839</v>
      </c>
      <c r="B58" s="10" t="s">
        <v>281</v>
      </c>
      <c r="C58" s="10" t="s">
        <v>282</v>
      </c>
      <c r="D58" s="11" t="s">
        <v>373</v>
      </c>
      <c r="E58" s="11" t="s">
        <v>148</v>
      </c>
      <c r="F58" s="11"/>
      <c r="G58" s="11"/>
      <c r="H58" s="11"/>
      <c r="I58" s="11"/>
      <c r="J58" s="11">
        <v>28</v>
      </c>
      <c r="K58" s="17">
        <v>28</v>
      </c>
      <c r="L58" s="18" t="s">
        <v>374</v>
      </c>
      <c r="M58" s="16" t="s">
        <v>375</v>
      </c>
      <c r="N58" s="18" t="s">
        <v>306</v>
      </c>
      <c r="O58" s="14"/>
      <c r="P58" s="19" t="s">
        <v>376</v>
      </c>
      <c r="Q58" s="8"/>
      <c r="R58" s="8"/>
    </row>
    <row r="59" ht="17.25" hidden="1" spans="1:18">
      <c r="A59" s="10">
        <v>44839</v>
      </c>
      <c r="B59" s="10" t="s">
        <v>281</v>
      </c>
      <c r="C59" s="10" t="s">
        <v>282</v>
      </c>
      <c r="D59" s="11" t="s">
        <v>283</v>
      </c>
      <c r="E59" s="11" t="s">
        <v>142</v>
      </c>
      <c r="F59" s="11"/>
      <c r="G59" s="11"/>
      <c r="H59" s="11"/>
      <c r="I59" s="11"/>
      <c r="J59" s="11">
        <v>44</v>
      </c>
      <c r="K59" s="17">
        <v>88</v>
      </c>
      <c r="L59" s="18" t="s">
        <v>236</v>
      </c>
      <c r="M59" s="16" t="s">
        <v>237</v>
      </c>
      <c r="N59" s="18" t="s">
        <v>263</v>
      </c>
      <c r="O59" s="14"/>
      <c r="P59" s="19" t="s">
        <v>377</v>
      </c>
      <c r="Q59" s="8"/>
      <c r="R59" s="8"/>
    </row>
    <row r="60" ht="17.25" hidden="1" spans="1:18">
      <c r="A60" s="10">
        <v>44839</v>
      </c>
      <c r="B60" s="10" t="s">
        <v>286</v>
      </c>
      <c r="C60" s="10" t="s">
        <v>287</v>
      </c>
      <c r="D60" s="11" t="s">
        <v>288</v>
      </c>
      <c r="E60" s="11" t="s">
        <v>142</v>
      </c>
      <c r="F60" s="11"/>
      <c r="G60" s="11"/>
      <c r="H60" s="11"/>
      <c r="I60" s="11"/>
      <c r="J60" s="11">
        <v>44</v>
      </c>
      <c r="K60" s="17">
        <v>130</v>
      </c>
      <c r="L60" s="18" t="s">
        <v>236</v>
      </c>
      <c r="M60" s="16" t="s">
        <v>237</v>
      </c>
      <c r="N60" s="18" t="s">
        <v>263</v>
      </c>
      <c r="O60" s="14"/>
      <c r="P60" s="19" t="s">
        <v>378</v>
      </c>
      <c r="Q60" s="8"/>
      <c r="R60" s="8"/>
    </row>
    <row r="61" ht="17.25" hidden="1" spans="1:18">
      <c r="A61" s="10">
        <v>44839</v>
      </c>
      <c r="B61" s="10" t="s">
        <v>379</v>
      </c>
      <c r="C61" s="10" t="s">
        <v>295</v>
      </c>
      <c r="D61" s="11" t="s">
        <v>380</v>
      </c>
      <c r="E61" s="11" t="s">
        <v>137</v>
      </c>
      <c r="F61" s="11"/>
      <c r="G61" s="11"/>
      <c r="H61" s="11"/>
      <c r="I61" s="11"/>
      <c r="J61" s="11">
        <v>35</v>
      </c>
      <c r="K61" s="17">
        <v>4.6</v>
      </c>
      <c r="L61" s="18" t="s">
        <v>236</v>
      </c>
      <c r="M61" s="16" t="s">
        <v>237</v>
      </c>
      <c r="N61" s="18" t="s">
        <v>238</v>
      </c>
      <c r="O61" s="14"/>
      <c r="P61" s="19" t="s">
        <v>381</v>
      </c>
      <c r="Q61" s="8"/>
      <c r="R61" s="8"/>
    </row>
    <row r="62" ht="17.25" hidden="1" spans="1:18">
      <c r="A62" s="10">
        <v>44839</v>
      </c>
      <c r="B62" s="10" t="s">
        <v>382</v>
      </c>
      <c r="C62" s="10" t="s">
        <v>295</v>
      </c>
      <c r="D62" s="11" t="s">
        <v>322</v>
      </c>
      <c r="E62" s="11" t="s">
        <v>149</v>
      </c>
      <c r="F62" s="11"/>
      <c r="G62" s="11"/>
      <c r="H62" s="11"/>
      <c r="I62" s="11"/>
      <c r="J62" s="11">
        <v>21</v>
      </c>
      <c r="K62" s="17">
        <v>156.65</v>
      </c>
      <c r="L62" s="18" t="s">
        <v>236</v>
      </c>
      <c r="M62" s="16" t="s">
        <v>237</v>
      </c>
      <c r="N62" s="18" t="s">
        <v>263</v>
      </c>
      <c r="O62" s="14"/>
      <c r="P62" s="19" t="s">
        <v>383</v>
      </c>
      <c r="Q62" s="8"/>
      <c r="R62" s="8"/>
    </row>
    <row r="63" ht="17.25" hidden="1" spans="1:18">
      <c r="A63" s="10">
        <v>44839</v>
      </c>
      <c r="B63" s="10" t="s">
        <v>384</v>
      </c>
      <c r="C63" s="10" t="s">
        <v>295</v>
      </c>
      <c r="D63" s="11" t="s">
        <v>385</v>
      </c>
      <c r="E63" s="11" t="s">
        <v>137</v>
      </c>
      <c r="F63" s="11"/>
      <c r="G63" s="11"/>
      <c r="H63" s="11"/>
      <c r="I63" s="11"/>
      <c r="J63" s="11">
        <v>34</v>
      </c>
      <c r="K63" s="17">
        <v>4.5</v>
      </c>
      <c r="L63" s="18" t="s">
        <v>236</v>
      </c>
      <c r="M63" s="16" t="s">
        <v>237</v>
      </c>
      <c r="N63" s="18" t="s">
        <v>238</v>
      </c>
      <c r="O63" s="14"/>
      <c r="P63" s="19" t="s">
        <v>386</v>
      </c>
      <c r="Q63" s="8"/>
      <c r="R63" s="8"/>
    </row>
    <row r="64" ht="17.25" hidden="1" spans="1:18">
      <c r="A64" s="10">
        <v>44839</v>
      </c>
      <c r="B64" s="10" t="s">
        <v>384</v>
      </c>
      <c r="C64" s="10" t="s">
        <v>295</v>
      </c>
      <c r="D64" s="11" t="s">
        <v>385</v>
      </c>
      <c r="E64" s="11" t="s">
        <v>137</v>
      </c>
      <c r="F64" s="11"/>
      <c r="G64" s="11"/>
      <c r="H64" s="11"/>
      <c r="I64" s="11"/>
      <c r="J64" s="11">
        <v>35</v>
      </c>
      <c r="K64" s="17">
        <v>112.2</v>
      </c>
      <c r="L64" s="18" t="s">
        <v>236</v>
      </c>
      <c r="M64" s="16" t="s">
        <v>237</v>
      </c>
      <c r="N64" s="18" t="s">
        <v>263</v>
      </c>
      <c r="O64" s="14"/>
      <c r="P64" s="19" t="s">
        <v>387</v>
      </c>
      <c r="Q64" s="8"/>
      <c r="R64" s="8"/>
    </row>
    <row r="65" ht="17.25" hidden="1" spans="1:18">
      <c r="A65" s="10">
        <v>44839</v>
      </c>
      <c r="B65" s="10" t="s">
        <v>299</v>
      </c>
      <c r="C65" s="10" t="s">
        <v>300</v>
      </c>
      <c r="D65" s="11" t="s">
        <v>388</v>
      </c>
      <c r="E65" s="11" t="s">
        <v>135</v>
      </c>
      <c r="F65" s="11"/>
      <c r="G65" s="11"/>
      <c r="H65" s="11"/>
      <c r="I65" s="11"/>
      <c r="J65" s="11">
        <v>36</v>
      </c>
      <c r="K65" s="17">
        <v>15</v>
      </c>
      <c r="L65" s="18" t="s">
        <v>236</v>
      </c>
      <c r="M65" s="16" t="s">
        <v>237</v>
      </c>
      <c r="N65" s="18" t="s">
        <v>238</v>
      </c>
      <c r="O65" s="14"/>
      <c r="P65" s="19" t="s">
        <v>389</v>
      </c>
      <c r="Q65" s="8"/>
      <c r="R65" s="8"/>
    </row>
    <row r="66" ht="17.25" hidden="1" spans="1:18">
      <c r="A66" s="10">
        <v>44839</v>
      </c>
      <c r="B66" s="10" t="s">
        <v>299</v>
      </c>
      <c r="C66" s="10" t="s">
        <v>300</v>
      </c>
      <c r="D66" s="11" t="s">
        <v>388</v>
      </c>
      <c r="E66" s="11" t="s">
        <v>135</v>
      </c>
      <c r="F66" s="11"/>
      <c r="G66" s="11"/>
      <c r="H66" s="11"/>
      <c r="I66" s="11"/>
      <c r="J66" s="11">
        <v>36</v>
      </c>
      <c r="K66" s="17">
        <v>15</v>
      </c>
      <c r="L66" s="18" t="s">
        <v>236</v>
      </c>
      <c r="M66" s="16" t="s">
        <v>237</v>
      </c>
      <c r="N66" s="18" t="s">
        <v>238</v>
      </c>
      <c r="O66" s="14"/>
      <c r="P66" s="19" t="s">
        <v>389</v>
      </c>
      <c r="Q66" s="8"/>
      <c r="R66" s="8"/>
    </row>
    <row r="67" ht="17.25" hidden="1" spans="1:18">
      <c r="A67" s="10">
        <v>44839</v>
      </c>
      <c r="B67" s="10" t="s">
        <v>308</v>
      </c>
      <c r="C67" s="10" t="s">
        <v>390</v>
      </c>
      <c r="D67" s="11" t="s">
        <v>326</v>
      </c>
      <c r="E67" s="11" t="s">
        <v>137</v>
      </c>
      <c r="F67" s="11"/>
      <c r="G67" s="11"/>
      <c r="H67" s="11"/>
      <c r="I67" s="11"/>
      <c r="J67" s="11">
        <v>35</v>
      </c>
      <c r="K67" s="17">
        <v>149.6</v>
      </c>
      <c r="L67" s="18" t="s">
        <v>236</v>
      </c>
      <c r="M67" s="16" t="s">
        <v>237</v>
      </c>
      <c r="N67" s="18" t="s">
        <v>263</v>
      </c>
      <c r="O67" s="14"/>
      <c r="P67" s="19" t="s">
        <v>391</v>
      </c>
      <c r="Q67" s="8"/>
      <c r="R67" s="8"/>
    </row>
    <row r="68" ht="17.25" hidden="1" spans="1:18">
      <c r="A68" s="10">
        <v>44839</v>
      </c>
      <c r="B68" s="10" t="s">
        <v>311</v>
      </c>
      <c r="C68" s="10" t="s">
        <v>312</v>
      </c>
      <c r="D68" s="11" t="s">
        <v>392</v>
      </c>
      <c r="E68" s="11" t="s">
        <v>135</v>
      </c>
      <c r="F68" s="11"/>
      <c r="G68" s="11"/>
      <c r="H68" s="11"/>
      <c r="I68" s="11"/>
      <c r="J68" s="11">
        <v>36</v>
      </c>
      <c r="K68" s="17">
        <v>81</v>
      </c>
      <c r="L68" s="18" t="s">
        <v>236</v>
      </c>
      <c r="M68" s="16" t="s">
        <v>237</v>
      </c>
      <c r="N68" s="18" t="s">
        <v>263</v>
      </c>
      <c r="O68" s="14"/>
      <c r="P68" s="19" t="s">
        <v>393</v>
      </c>
      <c r="Q68" s="8"/>
      <c r="R68" s="8"/>
    </row>
    <row r="69" ht="17.25" hidden="1" spans="1:18">
      <c r="A69" s="10">
        <v>44839</v>
      </c>
      <c r="B69" s="10" t="s">
        <v>311</v>
      </c>
      <c r="C69" s="10" t="s">
        <v>312</v>
      </c>
      <c r="D69" s="11" t="s">
        <v>313</v>
      </c>
      <c r="E69" s="11" t="s">
        <v>135</v>
      </c>
      <c r="F69" s="11"/>
      <c r="G69" s="11"/>
      <c r="H69" s="11"/>
      <c r="I69" s="11"/>
      <c r="J69" s="11">
        <v>40</v>
      </c>
      <c r="K69" s="17">
        <v>16.7</v>
      </c>
      <c r="L69" s="18" t="s">
        <v>236</v>
      </c>
      <c r="M69" s="16" t="s">
        <v>237</v>
      </c>
      <c r="N69" s="18" t="s">
        <v>238</v>
      </c>
      <c r="O69" s="14"/>
      <c r="P69" s="19" t="s">
        <v>394</v>
      </c>
      <c r="Q69" s="8"/>
      <c r="R69" s="8"/>
    </row>
    <row r="70" ht="17.25" hidden="1" spans="1:18">
      <c r="A70" s="10">
        <v>44839</v>
      </c>
      <c r="B70" s="10" t="s">
        <v>311</v>
      </c>
      <c r="C70" s="10" t="s">
        <v>312</v>
      </c>
      <c r="D70" s="11" t="s">
        <v>313</v>
      </c>
      <c r="E70" s="11" t="s">
        <v>135</v>
      </c>
      <c r="F70" s="11"/>
      <c r="G70" s="11"/>
      <c r="H70" s="11"/>
      <c r="I70" s="11"/>
      <c r="J70" s="11">
        <v>40</v>
      </c>
      <c r="K70" s="17">
        <v>16.7</v>
      </c>
      <c r="L70" s="18" t="s">
        <v>236</v>
      </c>
      <c r="M70" s="16" t="s">
        <v>237</v>
      </c>
      <c r="N70" s="18" t="s">
        <v>238</v>
      </c>
      <c r="O70" s="14"/>
      <c r="P70" s="19" t="s">
        <v>394</v>
      </c>
      <c r="Q70" s="8"/>
      <c r="R70" s="8"/>
    </row>
    <row r="71" ht="17.25" hidden="1" spans="1:18">
      <c r="A71" s="10">
        <v>44839</v>
      </c>
      <c r="B71" s="10" t="s">
        <v>395</v>
      </c>
      <c r="C71" s="10" t="s">
        <v>317</v>
      </c>
      <c r="D71" s="11" t="s">
        <v>396</v>
      </c>
      <c r="E71" s="11" t="s">
        <v>135</v>
      </c>
      <c r="F71" s="11"/>
      <c r="G71" s="11"/>
      <c r="H71" s="11"/>
      <c r="I71" s="11"/>
      <c r="J71" s="11">
        <v>36</v>
      </c>
      <c r="K71" s="17">
        <v>109.05</v>
      </c>
      <c r="L71" s="18" t="s">
        <v>236</v>
      </c>
      <c r="M71" s="16" t="s">
        <v>237</v>
      </c>
      <c r="N71" s="18" t="s">
        <v>263</v>
      </c>
      <c r="O71" s="14"/>
      <c r="P71" s="19" t="s">
        <v>397</v>
      </c>
      <c r="Q71" s="8"/>
      <c r="R71" s="8"/>
    </row>
    <row r="72" ht="17.25" hidden="1" spans="1:18">
      <c r="A72" s="10">
        <v>44839</v>
      </c>
      <c r="B72" s="10" t="s">
        <v>395</v>
      </c>
      <c r="C72" s="10" t="s">
        <v>317</v>
      </c>
      <c r="D72" s="11" t="s">
        <v>396</v>
      </c>
      <c r="E72" s="11" t="s">
        <v>135</v>
      </c>
      <c r="F72" s="11"/>
      <c r="G72" s="11"/>
      <c r="H72" s="11"/>
      <c r="I72" s="11"/>
      <c r="J72" s="11">
        <v>33</v>
      </c>
      <c r="K72" s="17">
        <v>66</v>
      </c>
      <c r="L72" s="18" t="s">
        <v>236</v>
      </c>
      <c r="M72" s="16" t="s">
        <v>237</v>
      </c>
      <c r="N72" s="18" t="s">
        <v>238</v>
      </c>
      <c r="O72" s="14"/>
      <c r="P72" s="19" t="s">
        <v>398</v>
      </c>
      <c r="Q72" s="8"/>
      <c r="R72" s="8"/>
    </row>
    <row r="73" ht="17.25" spans="1:18">
      <c r="A73" s="10">
        <v>44839</v>
      </c>
      <c r="B73" s="10" t="s">
        <v>395</v>
      </c>
      <c r="C73" s="10" t="s">
        <v>317</v>
      </c>
      <c r="D73" s="11" t="s">
        <v>396</v>
      </c>
      <c r="E73" s="11" t="s">
        <v>135</v>
      </c>
      <c r="F73" s="11"/>
      <c r="G73" s="11"/>
      <c r="H73" s="11"/>
      <c r="I73" s="11"/>
      <c r="J73" s="11">
        <v>1</v>
      </c>
      <c r="K73" s="17">
        <v>11</v>
      </c>
      <c r="L73" s="18" t="s">
        <v>304</v>
      </c>
      <c r="M73" s="15" t="s">
        <v>247</v>
      </c>
      <c r="N73" s="18" t="s">
        <v>306</v>
      </c>
      <c r="O73" s="14"/>
      <c r="P73" s="19" t="s">
        <v>399</v>
      </c>
      <c r="Q73" s="8"/>
      <c r="R73" s="8"/>
    </row>
    <row r="74" ht="17.25" hidden="1" spans="1:18">
      <c r="A74" s="10">
        <v>44839</v>
      </c>
      <c r="B74" s="10" t="s">
        <v>316</v>
      </c>
      <c r="C74" s="10" t="s">
        <v>400</v>
      </c>
      <c r="D74" s="11" t="s">
        <v>318</v>
      </c>
      <c r="E74" s="11" t="s">
        <v>136</v>
      </c>
      <c r="F74" s="11"/>
      <c r="G74" s="11"/>
      <c r="H74" s="11"/>
      <c r="I74" s="11"/>
      <c r="J74" s="11">
        <v>38</v>
      </c>
      <c r="K74" s="17">
        <v>5</v>
      </c>
      <c r="L74" s="18" t="s">
        <v>236</v>
      </c>
      <c r="M74" s="16" t="s">
        <v>237</v>
      </c>
      <c r="N74" s="18" t="s">
        <v>238</v>
      </c>
      <c r="O74" s="14"/>
      <c r="P74" s="19" t="s">
        <v>319</v>
      </c>
      <c r="Q74" s="8"/>
      <c r="R74" s="8"/>
    </row>
    <row r="75" ht="17.25" hidden="1" spans="1:18">
      <c r="A75" s="10">
        <v>44839</v>
      </c>
      <c r="B75" s="10" t="s">
        <v>316</v>
      </c>
      <c r="C75" s="10" t="s">
        <v>400</v>
      </c>
      <c r="D75" s="11" t="s">
        <v>318</v>
      </c>
      <c r="E75" s="11" t="s">
        <v>136</v>
      </c>
      <c r="F75" s="11"/>
      <c r="G75" s="11"/>
      <c r="H75" s="11"/>
      <c r="I75" s="11"/>
      <c r="J75" s="11">
        <v>38</v>
      </c>
      <c r="K75" s="17">
        <v>5</v>
      </c>
      <c r="L75" s="18" t="s">
        <v>236</v>
      </c>
      <c r="M75" s="16" t="s">
        <v>237</v>
      </c>
      <c r="N75" s="18" t="s">
        <v>238</v>
      </c>
      <c r="O75" s="14"/>
      <c r="P75" s="19" t="s">
        <v>319</v>
      </c>
      <c r="Q75" s="8"/>
      <c r="R75" s="8"/>
    </row>
    <row r="76" ht="17.25" hidden="1" spans="1:18">
      <c r="A76" s="10">
        <v>44839</v>
      </c>
      <c r="B76" s="10" t="s">
        <v>316</v>
      </c>
      <c r="C76" s="10" t="s">
        <v>400</v>
      </c>
      <c r="D76" s="11" t="s">
        <v>318</v>
      </c>
      <c r="E76" s="11" t="s">
        <v>136</v>
      </c>
      <c r="F76" s="11"/>
      <c r="G76" s="11"/>
      <c r="H76" s="11"/>
      <c r="I76" s="11"/>
      <c r="J76" s="11">
        <v>38</v>
      </c>
      <c r="K76" s="17">
        <v>5</v>
      </c>
      <c r="L76" s="18" t="s">
        <v>236</v>
      </c>
      <c r="M76" s="16" t="s">
        <v>237</v>
      </c>
      <c r="N76" s="18" t="s">
        <v>238</v>
      </c>
      <c r="O76" s="14"/>
      <c r="P76" s="19" t="s">
        <v>319</v>
      </c>
      <c r="Q76" s="8"/>
      <c r="R76" s="8"/>
    </row>
    <row r="77" ht="17.25" hidden="1" spans="1:18">
      <c r="A77" s="10">
        <v>44839</v>
      </c>
      <c r="B77" s="10" t="s">
        <v>320</v>
      </c>
      <c r="C77" s="10" t="s">
        <v>321</v>
      </c>
      <c r="D77" s="11" t="s">
        <v>401</v>
      </c>
      <c r="E77" s="11" t="s">
        <v>149</v>
      </c>
      <c r="F77" s="11"/>
      <c r="G77" s="11"/>
      <c r="H77" s="11"/>
      <c r="I77" s="11"/>
      <c r="J77" s="11">
        <v>20</v>
      </c>
      <c r="K77" s="17">
        <v>101.2</v>
      </c>
      <c r="L77" s="18" t="s">
        <v>236</v>
      </c>
      <c r="M77" s="16" t="s">
        <v>237</v>
      </c>
      <c r="N77" s="18" t="s">
        <v>263</v>
      </c>
      <c r="O77" s="14"/>
      <c r="P77" s="19" t="s">
        <v>402</v>
      </c>
      <c r="Q77" s="8"/>
      <c r="R77" s="8"/>
    </row>
    <row r="78" ht="17.25" hidden="1" spans="1:18">
      <c r="A78" s="10">
        <v>44839</v>
      </c>
      <c r="B78" s="10" t="s">
        <v>325</v>
      </c>
      <c r="C78" s="10" t="s">
        <v>321</v>
      </c>
      <c r="D78" s="11" t="s">
        <v>371</v>
      </c>
      <c r="E78" s="11" t="s">
        <v>137</v>
      </c>
      <c r="F78" s="11"/>
      <c r="G78" s="11"/>
      <c r="H78" s="11"/>
      <c r="I78" s="11"/>
      <c r="J78" s="11">
        <v>4</v>
      </c>
      <c r="K78" s="17">
        <v>44</v>
      </c>
      <c r="L78" s="18" t="s">
        <v>236</v>
      </c>
      <c r="M78" s="16" t="s">
        <v>327</v>
      </c>
      <c r="N78" s="18" t="s">
        <v>306</v>
      </c>
      <c r="O78" s="14"/>
      <c r="P78" s="19" t="s">
        <v>403</v>
      </c>
      <c r="Q78" s="8"/>
      <c r="R78" s="8"/>
    </row>
    <row r="79" ht="17.25" hidden="1" spans="1:18">
      <c r="A79" s="10">
        <v>44839</v>
      </c>
      <c r="B79" s="10" t="s">
        <v>329</v>
      </c>
      <c r="C79" s="10" t="s">
        <v>321</v>
      </c>
      <c r="D79" s="11" t="s">
        <v>404</v>
      </c>
      <c r="E79" s="11" t="s">
        <v>135</v>
      </c>
      <c r="F79" s="11"/>
      <c r="G79" s="11"/>
      <c r="H79" s="11"/>
      <c r="I79" s="11"/>
      <c r="J79" s="11">
        <v>18</v>
      </c>
      <c r="K79" s="17">
        <v>125.4</v>
      </c>
      <c r="L79" s="18" t="s">
        <v>213</v>
      </c>
      <c r="M79" s="16" t="s">
        <v>405</v>
      </c>
      <c r="N79" s="18" t="s">
        <v>213</v>
      </c>
      <c r="O79" s="14"/>
      <c r="P79" s="19" t="s">
        <v>406</v>
      </c>
      <c r="Q79" s="8"/>
      <c r="R79" s="8"/>
    </row>
    <row r="80" ht="17.25" spans="1:18">
      <c r="A80" s="10">
        <v>44839</v>
      </c>
      <c r="B80" s="10" t="s">
        <v>329</v>
      </c>
      <c r="C80" s="10" t="s">
        <v>321</v>
      </c>
      <c r="D80" s="11" t="s">
        <v>404</v>
      </c>
      <c r="E80" s="11" t="s">
        <v>135</v>
      </c>
      <c r="F80" s="11"/>
      <c r="G80" s="11"/>
      <c r="H80" s="11"/>
      <c r="I80" s="11"/>
      <c r="J80" s="11">
        <v>1</v>
      </c>
      <c r="K80" s="17">
        <v>11</v>
      </c>
      <c r="L80" s="18" t="s">
        <v>304</v>
      </c>
      <c r="M80" s="16" t="s">
        <v>330</v>
      </c>
      <c r="N80" s="18" t="s">
        <v>331</v>
      </c>
      <c r="O80" s="14"/>
      <c r="P80" s="19" t="s">
        <v>407</v>
      </c>
      <c r="Q80" s="8"/>
      <c r="R80" s="8"/>
    </row>
    <row r="81" ht="17.25" hidden="1" spans="1:18">
      <c r="A81" s="10">
        <v>44839</v>
      </c>
      <c r="B81" s="10" t="s">
        <v>329</v>
      </c>
      <c r="C81" s="10" t="s">
        <v>321</v>
      </c>
      <c r="D81" s="11" t="s">
        <v>404</v>
      </c>
      <c r="E81" s="11" t="s">
        <v>135</v>
      </c>
      <c r="F81" s="11"/>
      <c r="G81" s="11"/>
      <c r="H81" s="11"/>
      <c r="I81" s="11"/>
      <c r="J81" s="11">
        <v>1</v>
      </c>
      <c r="K81" s="17">
        <v>11</v>
      </c>
      <c r="L81" s="18" t="s">
        <v>333</v>
      </c>
      <c r="M81" s="16" t="s">
        <v>334</v>
      </c>
      <c r="N81" s="18" t="s">
        <v>331</v>
      </c>
      <c r="O81" s="14"/>
      <c r="P81" s="19" t="s">
        <v>408</v>
      </c>
      <c r="Q81" s="8"/>
      <c r="R81" s="8"/>
    </row>
    <row r="82" ht="18.75" hidden="1" spans="1:18">
      <c r="A82" s="7">
        <v>44840</v>
      </c>
      <c r="B82" s="7" t="s">
        <v>379</v>
      </c>
      <c r="C82" s="8" t="s">
        <v>295</v>
      </c>
      <c r="D82" s="8" t="s">
        <v>380</v>
      </c>
      <c r="E82" s="8" t="s">
        <v>137</v>
      </c>
      <c r="F82" s="20"/>
      <c r="G82" s="20"/>
      <c r="H82" s="20"/>
      <c r="I82" s="20"/>
      <c r="J82" s="11">
        <v>35</v>
      </c>
      <c r="K82" s="17">
        <v>70</v>
      </c>
      <c r="L82" s="18" t="s">
        <v>236</v>
      </c>
      <c r="M82" s="15" t="s">
        <v>247</v>
      </c>
      <c r="N82" s="18" t="s">
        <v>306</v>
      </c>
      <c r="O82" s="21"/>
      <c r="P82" s="19" t="s">
        <v>409</v>
      </c>
      <c r="Q82" s="8"/>
      <c r="R82" s="8"/>
    </row>
    <row r="83" ht="18.75" hidden="1" spans="1:18">
      <c r="A83" s="7">
        <v>44840</v>
      </c>
      <c r="B83" s="7" t="s">
        <v>382</v>
      </c>
      <c r="C83" s="8" t="s">
        <v>295</v>
      </c>
      <c r="D83" s="8" t="s">
        <v>410</v>
      </c>
      <c r="E83" s="8" t="s">
        <v>149</v>
      </c>
      <c r="F83" s="20"/>
      <c r="G83" s="20"/>
      <c r="H83" s="20"/>
      <c r="I83" s="20"/>
      <c r="J83" s="11">
        <v>20</v>
      </c>
      <c r="K83" s="17">
        <v>2.6</v>
      </c>
      <c r="L83" s="18" t="s">
        <v>236</v>
      </c>
      <c r="M83" s="16" t="s">
        <v>237</v>
      </c>
      <c r="N83" s="18" t="s">
        <v>238</v>
      </c>
      <c r="O83" s="21"/>
      <c r="P83" s="19" t="s">
        <v>411</v>
      </c>
      <c r="Q83" s="8"/>
      <c r="R83" s="8"/>
    </row>
    <row r="84" ht="18.75" hidden="1" spans="1:18">
      <c r="A84" s="7">
        <v>44840</v>
      </c>
      <c r="B84" s="7" t="s">
        <v>382</v>
      </c>
      <c r="C84" s="8" t="s">
        <v>295</v>
      </c>
      <c r="D84" s="8" t="s">
        <v>410</v>
      </c>
      <c r="E84" s="8" t="s">
        <v>149</v>
      </c>
      <c r="F84" s="20"/>
      <c r="G84" s="20"/>
      <c r="H84" s="20"/>
      <c r="I84" s="20"/>
      <c r="J84" s="11">
        <v>21</v>
      </c>
      <c r="K84" s="17">
        <v>110</v>
      </c>
      <c r="L84" s="18" t="s">
        <v>236</v>
      </c>
      <c r="M84" s="16" t="s">
        <v>237</v>
      </c>
      <c r="N84" s="18" t="s">
        <v>263</v>
      </c>
      <c r="O84" s="21"/>
      <c r="P84" s="19" t="s">
        <v>412</v>
      </c>
      <c r="Q84" s="8"/>
      <c r="R84" s="8"/>
    </row>
    <row r="85" ht="18.75" hidden="1" spans="1:18">
      <c r="A85" s="7">
        <v>44840</v>
      </c>
      <c r="B85" s="7" t="s">
        <v>384</v>
      </c>
      <c r="C85" s="8" t="s">
        <v>413</v>
      </c>
      <c r="D85" s="8" t="s">
        <v>414</v>
      </c>
      <c r="E85" s="8" t="s">
        <v>137</v>
      </c>
      <c r="F85" s="20"/>
      <c r="G85" s="20"/>
      <c r="H85" s="20"/>
      <c r="I85" s="20"/>
      <c r="J85" s="11">
        <v>35</v>
      </c>
      <c r="K85" s="17">
        <v>70</v>
      </c>
      <c r="L85" s="18" t="s">
        <v>236</v>
      </c>
      <c r="M85" s="15" t="s">
        <v>247</v>
      </c>
      <c r="N85" s="18" t="s">
        <v>306</v>
      </c>
      <c r="O85" s="21"/>
      <c r="P85" s="19" t="s">
        <v>415</v>
      </c>
      <c r="Q85" s="8"/>
      <c r="R85" s="8"/>
    </row>
    <row r="86" ht="18.75" hidden="1" spans="1:18">
      <c r="A86" s="7">
        <v>44840</v>
      </c>
      <c r="B86" s="7" t="s">
        <v>384</v>
      </c>
      <c r="C86" s="8" t="s">
        <v>413</v>
      </c>
      <c r="D86" s="8" t="s">
        <v>414</v>
      </c>
      <c r="E86" s="8" t="s">
        <v>137</v>
      </c>
      <c r="F86" s="20"/>
      <c r="G86" s="20"/>
      <c r="H86" s="20"/>
      <c r="I86" s="20"/>
      <c r="J86" s="11">
        <v>35</v>
      </c>
      <c r="K86" s="17">
        <v>35</v>
      </c>
      <c r="L86" s="18" t="s">
        <v>236</v>
      </c>
      <c r="M86" s="16" t="s">
        <v>237</v>
      </c>
      <c r="N86" s="18" t="s">
        <v>263</v>
      </c>
      <c r="O86" s="21"/>
      <c r="P86" s="19" t="s">
        <v>416</v>
      </c>
      <c r="Q86" s="8"/>
      <c r="R86" s="8"/>
    </row>
    <row r="87" ht="18.75" hidden="1" spans="1:18">
      <c r="A87" s="7">
        <v>44840</v>
      </c>
      <c r="B87" s="7" t="s">
        <v>299</v>
      </c>
      <c r="C87" s="8" t="s">
        <v>300</v>
      </c>
      <c r="D87" s="8" t="s">
        <v>417</v>
      </c>
      <c r="E87" s="8" t="s">
        <v>135</v>
      </c>
      <c r="F87" s="20"/>
      <c r="G87" s="20"/>
      <c r="H87" s="20"/>
      <c r="I87" s="20"/>
      <c r="J87" s="11">
        <v>36</v>
      </c>
      <c r="K87" s="17">
        <v>15</v>
      </c>
      <c r="L87" s="18" t="s">
        <v>236</v>
      </c>
      <c r="M87" s="16" t="s">
        <v>237</v>
      </c>
      <c r="N87" s="18" t="s">
        <v>238</v>
      </c>
      <c r="O87" s="21"/>
      <c r="P87" s="19" t="s">
        <v>389</v>
      </c>
      <c r="Q87" s="8"/>
      <c r="R87" s="8"/>
    </row>
    <row r="88" ht="18.75" spans="1:18">
      <c r="A88" s="7">
        <v>44840</v>
      </c>
      <c r="B88" s="7" t="s">
        <v>299</v>
      </c>
      <c r="C88" s="8" t="s">
        <v>300</v>
      </c>
      <c r="D88" s="8" t="s">
        <v>417</v>
      </c>
      <c r="E88" s="8" t="s">
        <v>135</v>
      </c>
      <c r="F88" s="20"/>
      <c r="G88" s="20"/>
      <c r="H88" s="20"/>
      <c r="I88" s="20"/>
      <c r="J88" s="11">
        <v>1</v>
      </c>
      <c r="K88" s="17">
        <v>12</v>
      </c>
      <c r="L88" s="18" t="s">
        <v>304</v>
      </c>
      <c r="M88" s="16" t="s">
        <v>418</v>
      </c>
      <c r="N88" s="18" t="s">
        <v>306</v>
      </c>
      <c r="O88" s="21"/>
      <c r="P88" s="19" t="s">
        <v>419</v>
      </c>
      <c r="Q88" s="8"/>
      <c r="R88" s="8"/>
    </row>
    <row r="89" ht="18.75" hidden="1" spans="1:18">
      <c r="A89" s="7">
        <v>44840</v>
      </c>
      <c r="B89" s="7" t="s">
        <v>308</v>
      </c>
      <c r="C89" s="8" t="s">
        <v>390</v>
      </c>
      <c r="D89" s="8" t="s">
        <v>326</v>
      </c>
      <c r="E89" s="8" t="s">
        <v>137</v>
      </c>
      <c r="F89" s="20"/>
      <c r="G89" s="20"/>
      <c r="H89" s="20"/>
      <c r="I89" s="20"/>
      <c r="J89" s="11">
        <v>35</v>
      </c>
      <c r="K89" s="17">
        <v>70</v>
      </c>
      <c r="L89" s="18" t="s">
        <v>236</v>
      </c>
      <c r="M89" s="15" t="s">
        <v>247</v>
      </c>
      <c r="N89" s="18" t="s">
        <v>306</v>
      </c>
      <c r="O89" s="21"/>
      <c r="P89" s="19" t="s">
        <v>415</v>
      </c>
      <c r="Q89" s="8"/>
      <c r="R89" s="8"/>
    </row>
    <row r="90" ht="18.75" hidden="1" spans="1:18">
      <c r="A90" s="7">
        <v>44840</v>
      </c>
      <c r="B90" s="7" t="s">
        <v>308</v>
      </c>
      <c r="C90" s="8" t="s">
        <v>390</v>
      </c>
      <c r="D90" s="8" t="s">
        <v>326</v>
      </c>
      <c r="E90" s="8" t="s">
        <v>137</v>
      </c>
      <c r="F90" s="20"/>
      <c r="G90" s="20"/>
      <c r="H90" s="20"/>
      <c r="I90" s="20"/>
      <c r="J90" s="11">
        <v>35</v>
      </c>
      <c r="K90" s="17">
        <v>42</v>
      </c>
      <c r="L90" s="18" t="s">
        <v>236</v>
      </c>
      <c r="M90" s="16" t="s">
        <v>237</v>
      </c>
      <c r="N90" s="18" t="s">
        <v>263</v>
      </c>
      <c r="O90" s="21"/>
      <c r="P90" s="19" t="s">
        <v>420</v>
      </c>
      <c r="Q90" s="8"/>
      <c r="R90" s="8"/>
    </row>
    <row r="91" ht="18.75" hidden="1" spans="1:18">
      <c r="A91" s="7">
        <v>44840</v>
      </c>
      <c r="B91" s="7" t="s">
        <v>311</v>
      </c>
      <c r="C91" s="8" t="s">
        <v>312</v>
      </c>
      <c r="D91" s="8" t="s">
        <v>392</v>
      </c>
      <c r="E91" s="8" t="s">
        <v>135</v>
      </c>
      <c r="F91" s="20"/>
      <c r="G91" s="20"/>
      <c r="H91" s="20"/>
      <c r="I91" s="20"/>
      <c r="J91" s="11">
        <v>37</v>
      </c>
      <c r="K91" s="17">
        <v>15.4</v>
      </c>
      <c r="L91" s="18" t="s">
        <v>236</v>
      </c>
      <c r="M91" s="16" t="s">
        <v>237</v>
      </c>
      <c r="N91" s="18" t="s">
        <v>238</v>
      </c>
      <c r="O91" s="21"/>
      <c r="P91" s="19" t="s">
        <v>421</v>
      </c>
      <c r="Q91" s="8"/>
      <c r="R91" s="8"/>
    </row>
    <row r="92" ht="18.75" hidden="1" spans="1:18">
      <c r="A92" s="7">
        <v>44840</v>
      </c>
      <c r="B92" s="7" t="s">
        <v>311</v>
      </c>
      <c r="C92" s="8" t="s">
        <v>312</v>
      </c>
      <c r="D92" s="8" t="s">
        <v>404</v>
      </c>
      <c r="E92" s="8" t="s">
        <v>135</v>
      </c>
      <c r="F92" s="20"/>
      <c r="G92" s="20"/>
      <c r="H92" s="20"/>
      <c r="I92" s="20"/>
      <c r="J92" s="11">
        <v>37</v>
      </c>
      <c r="K92" s="17">
        <v>15.4</v>
      </c>
      <c r="L92" s="18" t="s">
        <v>236</v>
      </c>
      <c r="M92" s="16" t="s">
        <v>237</v>
      </c>
      <c r="N92" s="18" t="s">
        <v>238</v>
      </c>
      <c r="O92" s="21"/>
      <c r="P92" s="19" t="s">
        <v>421</v>
      </c>
      <c r="Q92" s="8"/>
      <c r="R92" s="8"/>
    </row>
    <row r="93" ht="18.75" hidden="1" spans="1:18">
      <c r="A93" s="7">
        <v>44840</v>
      </c>
      <c r="B93" s="7" t="s">
        <v>311</v>
      </c>
      <c r="C93" s="8" t="s">
        <v>312</v>
      </c>
      <c r="D93" s="8" t="s">
        <v>422</v>
      </c>
      <c r="E93" s="8" t="s">
        <v>135</v>
      </c>
      <c r="F93" s="20"/>
      <c r="G93" s="20"/>
      <c r="H93" s="20"/>
      <c r="I93" s="20"/>
      <c r="J93" s="11">
        <v>37</v>
      </c>
      <c r="K93" s="17">
        <v>4.9</v>
      </c>
      <c r="L93" s="18" t="s">
        <v>236</v>
      </c>
      <c r="M93" s="16" t="s">
        <v>237</v>
      </c>
      <c r="N93" s="18" t="s">
        <v>238</v>
      </c>
      <c r="O93" s="21"/>
      <c r="P93" s="19" t="s">
        <v>423</v>
      </c>
      <c r="Q93" s="8"/>
      <c r="R93" s="8"/>
    </row>
    <row r="94" ht="18.75" hidden="1" spans="1:18">
      <c r="A94" s="7">
        <v>44840</v>
      </c>
      <c r="B94" s="7" t="s">
        <v>311</v>
      </c>
      <c r="C94" s="8" t="s">
        <v>312</v>
      </c>
      <c r="D94" s="8" t="s">
        <v>422</v>
      </c>
      <c r="E94" s="8" t="s">
        <v>135</v>
      </c>
      <c r="F94" s="20"/>
      <c r="G94" s="20"/>
      <c r="H94" s="20"/>
      <c r="I94" s="20"/>
      <c r="J94" s="11">
        <v>36</v>
      </c>
      <c r="K94" s="17">
        <v>55</v>
      </c>
      <c r="L94" s="18" t="s">
        <v>236</v>
      </c>
      <c r="M94" s="16" t="s">
        <v>237</v>
      </c>
      <c r="N94" s="18" t="s">
        <v>263</v>
      </c>
      <c r="O94" s="21"/>
      <c r="P94" s="19" t="s">
        <v>424</v>
      </c>
      <c r="Q94" s="8"/>
      <c r="R94" s="8"/>
    </row>
    <row r="95" ht="18.75" hidden="1" spans="1:18">
      <c r="A95" s="7">
        <v>44840</v>
      </c>
      <c r="B95" s="7" t="s">
        <v>395</v>
      </c>
      <c r="C95" s="8" t="s">
        <v>317</v>
      </c>
      <c r="D95" s="8" t="s">
        <v>425</v>
      </c>
      <c r="E95" s="8" t="s">
        <v>135</v>
      </c>
      <c r="F95" s="20"/>
      <c r="G95" s="20"/>
      <c r="H95" s="20"/>
      <c r="I95" s="20"/>
      <c r="J95" s="11">
        <v>36</v>
      </c>
      <c r="K95" s="17">
        <v>15</v>
      </c>
      <c r="L95" s="18" t="s">
        <v>236</v>
      </c>
      <c r="M95" s="16" t="s">
        <v>237</v>
      </c>
      <c r="N95" s="18" t="s">
        <v>238</v>
      </c>
      <c r="O95" s="21"/>
      <c r="P95" s="19" t="s">
        <v>389</v>
      </c>
      <c r="Q95" s="8"/>
      <c r="R95" s="8"/>
    </row>
    <row r="96" ht="18.75" spans="1:18">
      <c r="A96" s="7">
        <v>44840</v>
      </c>
      <c r="B96" s="7" t="s">
        <v>395</v>
      </c>
      <c r="C96" s="8" t="s">
        <v>317</v>
      </c>
      <c r="D96" s="8" t="s">
        <v>425</v>
      </c>
      <c r="E96" s="8" t="s">
        <v>135</v>
      </c>
      <c r="F96" s="20"/>
      <c r="G96" s="20"/>
      <c r="H96" s="20"/>
      <c r="I96" s="20"/>
      <c r="J96" s="11">
        <v>1</v>
      </c>
      <c r="K96" s="17">
        <v>11</v>
      </c>
      <c r="L96" s="18" t="s">
        <v>304</v>
      </c>
      <c r="M96" s="16" t="s">
        <v>418</v>
      </c>
      <c r="N96" s="18" t="s">
        <v>306</v>
      </c>
      <c r="O96" s="21"/>
      <c r="P96" s="19" t="s">
        <v>426</v>
      </c>
      <c r="Q96" s="8"/>
      <c r="R96" s="8"/>
    </row>
    <row r="97" ht="18.75" hidden="1" spans="1:18">
      <c r="A97" s="7">
        <v>44840</v>
      </c>
      <c r="B97" s="7" t="s">
        <v>395</v>
      </c>
      <c r="C97" s="8" t="s">
        <v>317</v>
      </c>
      <c r="D97" s="8" t="s">
        <v>425</v>
      </c>
      <c r="E97" s="8" t="s">
        <v>135</v>
      </c>
      <c r="F97" s="20"/>
      <c r="G97" s="20"/>
      <c r="H97" s="20"/>
      <c r="I97" s="20"/>
      <c r="J97" s="11">
        <v>36</v>
      </c>
      <c r="K97" s="17">
        <v>79.2</v>
      </c>
      <c r="L97" s="18" t="s">
        <v>236</v>
      </c>
      <c r="M97" s="16" t="s">
        <v>237</v>
      </c>
      <c r="N97" s="18" t="s">
        <v>263</v>
      </c>
      <c r="O97" s="21"/>
      <c r="P97" s="19" t="s">
        <v>427</v>
      </c>
      <c r="Q97" s="8"/>
      <c r="R97" s="8"/>
    </row>
    <row r="98" ht="18.75" hidden="1" spans="1:18">
      <c r="A98" s="7">
        <v>44840</v>
      </c>
      <c r="B98" s="7" t="s">
        <v>316</v>
      </c>
      <c r="C98" s="8" t="s">
        <v>400</v>
      </c>
      <c r="D98" s="8" t="s">
        <v>428</v>
      </c>
      <c r="E98" s="8" t="s">
        <v>136</v>
      </c>
      <c r="F98" s="20"/>
      <c r="G98" s="20"/>
      <c r="H98" s="20"/>
      <c r="I98" s="20"/>
      <c r="J98" s="11">
        <v>37</v>
      </c>
      <c r="K98" s="17">
        <v>5</v>
      </c>
      <c r="L98" s="18" t="s">
        <v>236</v>
      </c>
      <c r="M98" s="16" t="s">
        <v>237</v>
      </c>
      <c r="N98" s="18" t="s">
        <v>238</v>
      </c>
      <c r="O98" s="21"/>
      <c r="P98" s="19" t="s">
        <v>429</v>
      </c>
      <c r="Q98" s="8"/>
      <c r="R98" s="8"/>
    </row>
    <row r="99" ht="18.75" hidden="1" spans="1:18">
      <c r="A99" s="7">
        <v>44840</v>
      </c>
      <c r="B99" s="7" t="s">
        <v>320</v>
      </c>
      <c r="C99" s="8" t="s">
        <v>321</v>
      </c>
      <c r="D99" s="8" t="s">
        <v>396</v>
      </c>
      <c r="E99" s="8" t="s">
        <v>135</v>
      </c>
      <c r="F99" s="20"/>
      <c r="G99" s="20"/>
      <c r="H99" s="20"/>
      <c r="I99" s="20"/>
      <c r="J99" s="11">
        <v>18</v>
      </c>
      <c r="K99" s="17">
        <v>83.6</v>
      </c>
      <c r="L99" s="18" t="s">
        <v>213</v>
      </c>
      <c r="M99" s="16" t="s">
        <v>405</v>
      </c>
      <c r="N99" s="18" t="s">
        <v>213</v>
      </c>
      <c r="O99" s="21"/>
      <c r="P99" s="19" t="s">
        <v>430</v>
      </c>
      <c r="Q99" s="8"/>
      <c r="R99" s="8"/>
    </row>
    <row r="100" ht="18.75" hidden="1" spans="1:18">
      <c r="A100" s="7">
        <v>44840</v>
      </c>
      <c r="B100" s="7" t="s">
        <v>320</v>
      </c>
      <c r="C100" s="8" t="s">
        <v>321</v>
      </c>
      <c r="D100" s="8" t="s">
        <v>431</v>
      </c>
      <c r="E100" s="8" t="s">
        <v>149</v>
      </c>
      <c r="F100" s="20"/>
      <c r="G100" s="20"/>
      <c r="H100" s="20"/>
      <c r="I100" s="20"/>
      <c r="J100" s="11">
        <v>20</v>
      </c>
      <c r="K100" s="17">
        <v>47.8</v>
      </c>
      <c r="L100" s="18" t="s">
        <v>236</v>
      </c>
      <c r="M100" s="16" t="s">
        <v>237</v>
      </c>
      <c r="N100" s="18" t="s">
        <v>263</v>
      </c>
      <c r="O100" s="21"/>
      <c r="P100" s="19" t="s">
        <v>432</v>
      </c>
      <c r="Q100" s="8"/>
      <c r="R100" s="8"/>
    </row>
    <row r="101" ht="18.75" spans="1:18">
      <c r="A101" s="7">
        <v>44840</v>
      </c>
      <c r="B101" s="7" t="s">
        <v>329</v>
      </c>
      <c r="C101" s="8" t="s">
        <v>321</v>
      </c>
      <c r="D101" s="8" t="s">
        <v>422</v>
      </c>
      <c r="E101" s="8" t="s">
        <v>135</v>
      </c>
      <c r="F101" s="20"/>
      <c r="G101" s="20"/>
      <c r="H101" s="20"/>
      <c r="I101" s="20"/>
      <c r="J101" s="11">
        <v>1</v>
      </c>
      <c r="K101" s="17">
        <v>11</v>
      </c>
      <c r="L101" s="18" t="s">
        <v>304</v>
      </c>
      <c r="M101" s="15" t="s">
        <v>247</v>
      </c>
      <c r="N101" s="18" t="s">
        <v>331</v>
      </c>
      <c r="O101" s="21"/>
      <c r="P101" s="19" t="s">
        <v>407</v>
      </c>
      <c r="Q101" s="8"/>
      <c r="R101" s="8"/>
    </row>
    <row r="102" ht="18.75" hidden="1" spans="1:18">
      <c r="A102" s="7">
        <v>44840</v>
      </c>
      <c r="B102" s="7" t="s">
        <v>329</v>
      </c>
      <c r="C102" s="8" t="s">
        <v>321</v>
      </c>
      <c r="D102" s="8" t="s">
        <v>422</v>
      </c>
      <c r="E102" s="8" t="s">
        <v>135</v>
      </c>
      <c r="F102" s="20"/>
      <c r="G102" s="20"/>
      <c r="H102" s="20"/>
      <c r="I102" s="20"/>
      <c r="J102" s="11">
        <v>1</v>
      </c>
      <c r="K102" s="17">
        <v>11</v>
      </c>
      <c r="L102" s="18" t="s">
        <v>333</v>
      </c>
      <c r="M102" s="15" t="s">
        <v>247</v>
      </c>
      <c r="N102" s="18" t="s">
        <v>331</v>
      </c>
      <c r="O102" s="21"/>
      <c r="P102" s="19" t="s">
        <v>408</v>
      </c>
      <c r="Q102" s="8"/>
      <c r="R102" s="8"/>
    </row>
    <row r="103" ht="18.75" hidden="1" spans="1:18">
      <c r="A103" s="7">
        <v>44840</v>
      </c>
      <c r="B103" s="7" t="s">
        <v>345</v>
      </c>
      <c r="C103" s="8" t="s">
        <v>346</v>
      </c>
      <c r="D103" s="8" t="s">
        <v>433</v>
      </c>
      <c r="E103" s="8" t="s">
        <v>141</v>
      </c>
      <c r="F103" s="20"/>
      <c r="G103" s="20"/>
      <c r="H103" s="20"/>
      <c r="I103" s="20"/>
      <c r="J103" s="11">
        <v>42</v>
      </c>
      <c r="K103" s="17">
        <v>100.8</v>
      </c>
      <c r="L103" s="18" t="s">
        <v>236</v>
      </c>
      <c r="M103" s="16" t="s">
        <v>237</v>
      </c>
      <c r="N103" s="18" t="s">
        <v>263</v>
      </c>
      <c r="O103" s="21"/>
      <c r="P103" s="22" t="s">
        <v>434</v>
      </c>
      <c r="Q103" s="8"/>
      <c r="R103" s="8"/>
    </row>
    <row r="104" ht="18.75" hidden="1" spans="1:18">
      <c r="A104" s="7">
        <v>44840</v>
      </c>
      <c r="B104" s="7" t="s">
        <v>350</v>
      </c>
      <c r="C104" s="8" t="s">
        <v>351</v>
      </c>
      <c r="D104" s="8" t="s">
        <v>352</v>
      </c>
      <c r="E104" s="8" t="s">
        <v>146</v>
      </c>
      <c r="F104" s="20"/>
      <c r="G104" s="20"/>
      <c r="H104" s="20"/>
      <c r="I104" s="20"/>
      <c r="J104" s="11">
        <v>44</v>
      </c>
      <c r="K104" s="17">
        <v>5.86</v>
      </c>
      <c r="L104" s="18" t="s">
        <v>236</v>
      </c>
      <c r="M104" s="16" t="s">
        <v>237</v>
      </c>
      <c r="N104" s="18" t="s">
        <v>238</v>
      </c>
      <c r="O104" s="21"/>
      <c r="P104" s="22" t="s">
        <v>435</v>
      </c>
      <c r="Q104" s="8"/>
      <c r="R104" s="8"/>
    </row>
    <row r="105" ht="18.75" hidden="1" spans="1:18">
      <c r="A105" s="7">
        <v>44840</v>
      </c>
      <c r="B105" s="7" t="s">
        <v>350</v>
      </c>
      <c r="C105" s="8" t="s">
        <v>351</v>
      </c>
      <c r="D105" s="8" t="s">
        <v>436</v>
      </c>
      <c r="E105" s="8" t="s">
        <v>140</v>
      </c>
      <c r="F105" s="20"/>
      <c r="G105" s="20"/>
      <c r="H105" s="20"/>
      <c r="I105" s="20"/>
      <c r="J105" s="11">
        <v>44</v>
      </c>
      <c r="K105" s="17">
        <v>33</v>
      </c>
      <c r="L105" s="18" t="s">
        <v>236</v>
      </c>
      <c r="M105" s="16" t="s">
        <v>237</v>
      </c>
      <c r="N105" s="18" t="s">
        <v>238</v>
      </c>
      <c r="O105" s="21"/>
      <c r="P105" s="22" t="s">
        <v>437</v>
      </c>
      <c r="Q105" s="8"/>
      <c r="R105" s="8"/>
    </row>
    <row r="106" ht="18.75" hidden="1" spans="1:18">
      <c r="A106" s="7">
        <v>44840</v>
      </c>
      <c r="B106" s="7" t="s">
        <v>350</v>
      </c>
      <c r="C106" s="8" t="s">
        <v>351</v>
      </c>
      <c r="D106" s="8" t="s">
        <v>436</v>
      </c>
      <c r="E106" s="8" t="s">
        <v>140</v>
      </c>
      <c r="F106" s="20"/>
      <c r="G106" s="20"/>
      <c r="H106" s="20"/>
      <c r="I106" s="20"/>
      <c r="J106" s="11">
        <v>47</v>
      </c>
      <c r="K106" s="17">
        <v>35.25</v>
      </c>
      <c r="L106" s="18" t="s">
        <v>236</v>
      </c>
      <c r="M106" s="16" t="s">
        <v>438</v>
      </c>
      <c r="N106" s="18" t="s">
        <v>306</v>
      </c>
      <c r="O106" s="21"/>
      <c r="P106" s="22" t="s">
        <v>439</v>
      </c>
      <c r="Q106" s="8"/>
      <c r="R106" s="8"/>
    </row>
    <row r="107" ht="18.75" hidden="1" spans="1:18">
      <c r="A107" s="7">
        <v>44840</v>
      </c>
      <c r="B107" s="7" t="s">
        <v>350</v>
      </c>
      <c r="C107" s="8" t="s">
        <v>351</v>
      </c>
      <c r="D107" s="8" t="s">
        <v>436</v>
      </c>
      <c r="E107" s="8" t="s">
        <v>140</v>
      </c>
      <c r="F107" s="20"/>
      <c r="G107" s="20"/>
      <c r="H107" s="20"/>
      <c r="I107" s="20"/>
      <c r="J107" s="11">
        <v>42</v>
      </c>
      <c r="K107" s="17">
        <v>96.4</v>
      </c>
      <c r="L107" s="18" t="s">
        <v>236</v>
      </c>
      <c r="M107" s="16" t="s">
        <v>237</v>
      </c>
      <c r="N107" s="18" t="s">
        <v>263</v>
      </c>
      <c r="O107" s="21"/>
      <c r="P107" s="22" t="s">
        <v>440</v>
      </c>
      <c r="Q107" s="8"/>
      <c r="R107" s="8"/>
    </row>
    <row r="108" ht="18.75" hidden="1" spans="1:18">
      <c r="A108" s="7">
        <v>44840</v>
      </c>
      <c r="B108" s="7" t="s">
        <v>254</v>
      </c>
      <c r="C108" s="8" t="s">
        <v>255</v>
      </c>
      <c r="D108" s="8" t="s">
        <v>441</v>
      </c>
      <c r="E108" s="8" t="s">
        <v>141</v>
      </c>
      <c r="F108" s="20"/>
      <c r="G108" s="20"/>
      <c r="H108" s="20"/>
      <c r="I108" s="20"/>
      <c r="J108" s="11">
        <v>42</v>
      </c>
      <c r="K108" s="17">
        <v>5.6</v>
      </c>
      <c r="L108" s="18" t="s">
        <v>236</v>
      </c>
      <c r="M108" s="16" t="s">
        <v>237</v>
      </c>
      <c r="N108" s="18" t="s">
        <v>238</v>
      </c>
      <c r="O108" s="21"/>
      <c r="P108" s="22" t="s">
        <v>442</v>
      </c>
      <c r="Q108" s="8"/>
      <c r="R108" s="8"/>
    </row>
    <row r="109" ht="18.75" hidden="1" spans="1:18">
      <c r="A109" s="7">
        <v>44840</v>
      </c>
      <c r="B109" s="7" t="s">
        <v>254</v>
      </c>
      <c r="C109" s="8" t="s">
        <v>255</v>
      </c>
      <c r="D109" s="8" t="s">
        <v>443</v>
      </c>
      <c r="E109" s="8" t="s">
        <v>141</v>
      </c>
      <c r="F109" s="20"/>
      <c r="G109" s="20"/>
      <c r="H109" s="20"/>
      <c r="I109" s="20"/>
      <c r="J109" s="11">
        <v>42</v>
      </c>
      <c r="K109" s="17">
        <v>5.6</v>
      </c>
      <c r="L109" s="18" t="s">
        <v>236</v>
      </c>
      <c r="M109" s="16" t="s">
        <v>237</v>
      </c>
      <c r="N109" s="18" t="s">
        <v>238</v>
      </c>
      <c r="O109" s="21"/>
      <c r="P109" s="22" t="s">
        <v>442</v>
      </c>
      <c r="Q109" s="8"/>
      <c r="R109" s="8"/>
    </row>
    <row r="110" ht="18.75" hidden="1" spans="1:18">
      <c r="A110" s="7">
        <v>44840</v>
      </c>
      <c r="B110" s="7" t="s">
        <v>260</v>
      </c>
      <c r="C110" s="8" t="s">
        <v>270</v>
      </c>
      <c r="D110" s="8" t="s">
        <v>262</v>
      </c>
      <c r="E110" s="8" t="s">
        <v>143</v>
      </c>
      <c r="F110" s="20"/>
      <c r="G110" s="20"/>
      <c r="H110" s="20"/>
      <c r="I110" s="20"/>
      <c r="J110" s="11">
        <v>22</v>
      </c>
      <c r="K110" s="17">
        <v>96.8</v>
      </c>
      <c r="L110" s="18" t="s">
        <v>236</v>
      </c>
      <c r="M110" s="16" t="s">
        <v>237</v>
      </c>
      <c r="N110" s="18" t="s">
        <v>263</v>
      </c>
      <c r="O110" s="21"/>
      <c r="P110" s="22" t="s">
        <v>444</v>
      </c>
      <c r="Q110" s="8"/>
      <c r="R110" s="8"/>
    </row>
    <row r="111" ht="18.75" hidden="1" spans="1:18">
      <c r="A111" s="7">
        <v>44840</v>
      </c>
      <c r="B111" s="7" t="s">
        <v>265</v>
      </c>
      <c r="C111" s="8" t="s">
        <v>266</v>
      </c>
      <c r="D111" s="8" t="s">
        <v>445</v>
      </c>
      <c r="E111" s="8" t="s">
        <v>143</v>
      </c>
      <c r="F111" s="20"/>
      <c r="G111" s="20"/>
      <c r="H111" s="20"/>
      <c r="I111" s="20"/>
      <c r="J111" s="11">
        <v>22</v>
      </c>
      <c r="K111" s="17">
        <v>2.93</v>
      </c>
      <c r="L111" s="18" t="s">
        <v>236</v>
      </c>
      <c r="M111" s="16" t="s">
        <v>237</v>
      </c>
      <c r="N111" s="18" t="s">
        <v>238</v>
      </c>
      <c r="O111" s="21"/>
      <c r="P111" s="22" t="s">
        <v>446</v>
      </c>
      <c r="Q111" s="8"/>
      <c r="R111" s="8"/>
    </row>
    <row r="112" ht="18.75" hidden="1" spans="1:18">
      <c r="A112" s="7">
        <v>44840</v>
      </c>
      <c r="B112" s="7" t="s">
        <v>265</v>
      </c>
      <c r="C112" s="8" t="s">
        <v>266</v>
      </c>
      <c r="D112" s="8" t="s">
        <v>445</v>
      </c>
      <c r="E112" s="8" t="s">
        <v>143</v>
      </c>
      <c r="F112" s="20"/>
      <c r="G112" s="20"/>
      <c r="H112" s="20"/>
      <c r="I112" s="20"/>
      <c r="J112" s="11">
        <v>22</v>
      </c>
      <c r="K112" s="17">
        <v>95.628</v>
      </c>
      <c r="L112" s="18" t="s">
        <v>236</v>
      </c>
      <c r="M112" s="16" t="s">
        <v>237</v>
      </c>
      <c r="N112" s="18" t="s">
        <v>263</v>
      </c>
      <c r="O112" s="21"/>
      <c r="P112" s="22" t="s">
        <v>447</v>
      </c>
      <c r="Q112" s="8"/>
      <c r="R112" s="8"/>
    </row>
    <row r="113" ht="18.75" hidden="1" spans="1:18">
      <c r="A113" s="7">
        <v>44840</v>
      </c>
      <c r="B113" s="7" t="s">
        <v>269</v>
      </c>
      <c r="C113" s="8" t="s">
        <v>270</v>
      </c>
      <c r="D113" s="8" t="s">
        <v>271</v>
      </c>
      <c r="E113" s="8" t="s">
        <v>141</v>
      </c>
      <c r="F113" s="20"/>
      <c r="G113" s="20"/>
      <c r="H113" s="20"/>
      <c r="I113" s="20"/>
      <c r="J113" s="11">
        <v>42</v>
      </c>
      <c r="K113" s="17">
        <v>14</v>
      </c>
      <c r="L113" s="18" t="s">
        <v>236</v>
      </c>
      <c r="M113" s="16" t="s">
        <v>237</v>
      </c>
      <c r="N113" s="18" t="s">
        <v>238</v>
      </c>
      <c r="O113" s="21"/>
      <c r="P113" s="22" t="s">
        <v>448</v>
      </c>
      <c r="Q113" s="8"/>
      <c r="R113" s="8"/>
    </row>
    <row r="114" ht="18.75" hidden="1" spans="1:18">
      <c r="A114" s="7">
        <v>44840</v>
      </c>
      <c r="B114" s="7" t="s">
        <v>269</v>
      </c>
      <c r="C114" s="8" t="s">
        <v>270</v>
      </c>
      <c r="D114" s="8" t="s">
        <v>449</v>
      </c>
      <c r="E114" s="8" t="s">
        <v>141</v>
      </c>
      <c r="F114" s="20"/>
      <c r="G114" s="20"/>
      <c r="H114" s="20"/>
      <c r="I114" s="20"/>
      <c r="J114" s="11">
        <v>42</v>
      </c>
      <c r="K114" s="17">
        <v>5.6</v>
      </c>
      <c r="L114" s="18" t="s">
        <v>236</v>
      </c>
      <c r="M114" s="16" t="s">
        <v>237</v>
      </c>
      <c r="N114" s="18" t="s">
        <v>238</v>
      </c>
      <c r="O114" s="21"/>
      <c r="P114" s="22" t="s">
        <v>450</v>
      </c>
      <c r="Q114" s="8"/>
      <c r="R114" s="8"/>
    </row>
    <row r="115" ht="18.75" hidden="1" spans="1:18">
      <c r="A115" s="7">
        <v>44840</v>
      </c>
      <c r="B115" s="7" t="s">
        <v>269</v>
      </c>
      <c r="C115" s="8" t="s">
        <v>270</v>
      </c>
      <c r="D115" s="8" t="s">
        <v>451</v>
      </c>
      <c r="E115" s="8" t="s">
        <v>141</v>
      </c>
      <c r="F115" s="20"/>
      <c r="G115" s="20"/>
      <c r="H115" s="20"/>
      <c r="I115" s="20"/>
      <c r="J115" s="11">
        <v>42</v>
      </c>
      <c r="K115" s="17">
        <v>5.6</v>
      </c>
      <c r="L115" s="18" t="s">
        <v>236</v>
      </c>
      <c r="M115" s="16" t="s">
        <v>237</v>
      </c>
      <c r="N115" s="18" t="s">
        <v>238</v>
      </c>
      <c r="O115" s="21"/>
      <c r="P115" s="22" t="s">
        <v>450</v>
      </c>
      <c r="Q115" s="8"/>
      <c r="R115" s="8"/>
    </row>
    <row r="116" ht="18.75" hidden="1" spans="1:18">
      <c r="A116" s="7">
        <v>44840</v>
      </c>
      <c r="B116" s="7" t="s">
        <v>269</v>
      </c>
      <c r="C116" s="8" t="s">
        <v>270</v>
      </c>
      <c r="D116" s="8" t="s">
        <v>452</v>
      </c>
      <c r="E116" s="8" t="s">
        <v>141</v>
      </c>
      <c r="F116" s="20"/>
      <c r="G116" s="20"/>
      <c r="H116" s="20"/>
      <c r="I116" s="20"/>
      <c r="J116" s="11">
        <v>42</v>
      </c>
      <c r="K116" s="17">
        <v>5.6</v>
      </c>
      <c r="L116" s="18" t="s">
        <v>236</v>
      </c>
      <c r="M116" s="16" t="s">
        <v>237</v>
      </c>
      <c r="N116" s="18" t="s">
        <v>238</v>
      </c>
      <c r="O116" s="21"/>
      <c r="P116" s="22" t="s">
        <v>450</v>
      </c>
      <c r="Q116" s="8"/>
      <c r="R116" s="8"/>
    </row>
    <row r="117" ht="18.75" hidden="1" spans="1:18">
      <c r="A117" s="7">
        <v>44840</v>
      </c>
      <c r="B117" s="7" t="s">
        <v>273</v>
      </c>
      <c r="C117" s="8" t="s">
        <v>274</v>
      </c>
      <c r="D117" s="8" t="s">
        <v>453</v>
      </c>
      <c r="E117" s="8" t="s">
        <v>143</v>
      </c>
      <c r="F117" s="20"/>
      <c r="G117" s="20"/>
      <c r="H117" s="20"/>
      <c r="I117" s="20"/>
      <c r="J117" s="11">
        <v>22</v>
      </c>
      <c r="K117" s="17">
        <v>176.8</v>
      </c>
      <c r="L117" s="18" t="s">
        <v>236</v>
      </c>
      <c r="M117" s="16" t="s">
        <v>237</v>
      </c>
      <c r="N117" s="18" t="s">
        <v>263</v>
      </c>
      <c r="O117" s="21"/>
      <c r="P117" s="22" t="s">
        <v>454</v>
      </c>
      <c r="Q117" s="8"/>
      <c r="R117" s="8"/>
    </row>
    <row r="118" ht="18.75" hidden="1" spans="1:18">
      <c r="A118" s="7">
        <v>44840</v>
      </c>
      <c r="B118" s="7" t="s">
        <v>277</v>
      </c>
      <c r="C118" s="8" t="s">
        <v>278</v>
      </c>
      <c r="D118" s="8" t="s">
        <v>455</v>
      </c>
      <c r="E118" s="8" t="s">
        <v>141</v>
      </c>
      <c r="F118" s="20"/>
      <c r="G118" s="20"/>
      <c r="H118" s="20"/>
      <c r="I118" s="20"/>
      <c r="J118" s="11">
        <v>43</v>
      </c>
      <c r="K118" s="17">
        <v>5.73</v>
      </c>
      <c r="L118" s="18" t="s">
        <v>236</v>
      </c>
      <c r="M118" s="16" t="s">
        <v>237</v>
      </c>
      <c r="N118" s="18" t="s">
        <v>238</v>
      </c>
      <c r="O118" s="21"/>
      <c r="P118" s="22" t="s">
        <v>456</v>
      </c>
      <c r="Q118" s="8"/>
      <c r="R118" s="8"/>
    </row>
    <row r="119" ht="18.75" hidden="1" spans="1:18">
      <c r="A119" s="7">
        <v>44840</v>
      </c>
      <c r="B119" s="7" t="s">
        <v>277</v>
      </c>
      <c r="C119" s="8" t="s">
        <v>278</v>
      </c>
      <c r="D119" s="8" t="s">
        <v>457</v>
      </c>
      <c r="E119" s="8" t="s">
        <v>141</v>
      </c>
      <c r="F119" s="20"/>
      <c r="G119" s="20"/>
      <c r="H119" s="20"/>
      <c r="I119" s="20"/>
      <c r="J119" s="11">
        <v>43</v>
      </c>
      <c r="K119" s="17">
        <v>5.73</v>
      </c>
      <c r="L119" s="18" t="s">
        <v>236</v>
      </c>
      <c r="M119" s="16" t="s">
        <v>237</v>
      </c>
      <c r="N119" s="18" t="s">
        <v>238</v>
      </c>
      <c r="O119" s="21"/>
      <c r="P119" s="22" t="s">
        <v>456</v>
      </c>
      <c r="Q119" s="8"/>
      <c r="R119" s="8"/>
    </row>
    <row r="120" ht="18.75" hidden="1" spans="1:18">
      <c r="A120" s="7">
        <v>44840</v>
      </c>
      <c r="B120" s="7" t="s">
        <v>458</v>
      </c>
      <c r="C120" s="8" t="s">
        <v>370</v>
      </c>
      <c r="D120" s="8" t="s">
        <v>459</v>
      </c>
      <c r="E120" s="8" t="s">
        <v>147</v>
      </c>
      <c r="F120" s="20"/>
      <c r="G120" s="20"/>
      <c r="H120" s="20"/>
      <c r="I120" s="20"/>
      <c r="J120" s="11">
        <v>43</v>
      </c>
      <c r="K120" s="17">
        <v>25.3</v>
      </c>
      <c r="L120" s="18" t="s">
        <v>236</v>
      </c>
      <c r="M120" s="16" t="s">
        <v>237</v>
      </c>
      <c r="N120" s="18" t="s">
        <v>238</v>
      </c>
      <c r="O120" s="21"/>
      <c r="P120" s="22" t="s">
        <v>460</v>
      </c>
      <c r="Q120" s="8"/>
      <c r="R120" s="8"/>
    </row>
    <row r="121" ht="18.75" hidden="1" spans="1:18">
      <c r="A121" s="7">
        <v>44840</v>
      </c>
      <c r="B121" s="7" t="s">
        <v>458</v>
      </c>
      <c r="C121" s="8" t="s">
        <v>370</v>
      </c>
      <c r="D121" s="8" t="s">
        <v>461</v>
      </c>
      <c r="E121" s="8" t="s">
        <v>134</v>
      </c>
      <c r="F121" s="20"/>
      <c r="G121" s="20"/>
      <c r="H121" s="20"/>
      <c r="I121" s="20"/>
      <c r="J121" s="11">
        <v>43</v>
      </c>
      <c r="K121" s="17">
        <v>5.7</v>
      </c>
      <c r="L121" s="18" t="s">
        <v>236</v>
      </c>
      <c r="M121" s="16" t="s">
        <v>237</v>
      </c>
      <c r="N121" s="18" t="s">
        <v>238</v>
      </c>
      <c r="O121" s="21"/>
      <c r="P121" s="22" t="s">
        <v>462</v>
      </c>
      <c r="Q121" s="8"/>
      <c r="R121" s="8"/>
    </row>
    <row r="122" ht="18.75" hidden="1" spans="1:18">
      <c r="A122" s="7">
        <v>44840</v>
      </c>
      <c r="B122" s="7" t="s">
        <v>458</v>
      </c>
      <c r="C122" s="8" t="s">
        <v>370</v>
      </c>
      <c r="D122" s="8" t="s">
        <v>463</v>
      </c>
      <c r="E122" s="8" t="s">
        <v>134</v>
      </c>
      <c r="F122" s="20"/>
      <c r="G122" s="20"/>
      <c r="H122" s="20"/>
      <c r="I122" s="20"/>
      <c r="J122" s="11">
        <v>43</v>
      </c>
      <c r="K122" s="17">
        <v>150.5</v>
      </c>
      <c r="L122" s="18" t="s">
        <v>236</v>
      </c>
      <c r="M122" s="15" t="s">
        <v>247</v>
      </c>
      <c r="N122" s="18" t="s">
        <v>306</v>
      </c>
      <c r="O122" s="21"/>
      <c r="P122" s="22" t="s">
        <v>464</v>
      </c>
      <c r="Q122" s="8"/>
      <c r="R122" s="8"/>
    </row>
    <row r="123" ht="18.75" hidden="1" spans="1:18">
      <c r="A123" s="7">
        <v>44840</v>
      </c>
      <c r="B123" s="7" t="s">
        <v>369</v>
      </c>
      <c r="C123" s="8" t="s">
        <v>370</v>
      </c>
      <c r="D123" s="8" t="s">
        <v>465</v>
      </c>
      <c r="E123" s="8" t="s">
        <v>77</v>
      </c>
      <c r="F123" s="20"/>
      <c r="G123" s="20"/>
      <c r="H123" s="20"/>
      <c r="I123" s="20"/>
      <c r="J123" s="11">
        <v>45</v>
      </c>
      <c r="K123" s="17">
        <v>6</v>
      </c>
      <c r="L123" s="18" t="s">
        <v>236</v>
      </c>
      <c r="M123" s="16" t="s">
        <v>237</v>
      </c>
      <c r="N123" s="18" t="s">
        <v>238</v>
      </c>
      <c r="O123" s="21"/>
      <c r="P123" s="22" t="s">
        <v>466</v>
      </c>
      <c r="Q123" s="8"/>
      <c r="R123" s="8"/>
    </row>
    <row r="124" ht="18.75" hidden="1" spans="1:18">
      <c r="A124" s="7">
        <v>44840</v>
      </c>
      <c r="B124" s="7" t="s">
        <v>369</v>
      </c>
      <c r="C124" s="8" t="s">
        <v>370</v>
      </c>
      <c r="D124" s="8" t="s">
        <v>467</v>
      </c>
      <c r="E124" s="8" t="s">
        <v>77</v>
      </c>
      <c r="F124" s="20"/>
      <c r="G124" s="20"/>
      <c r="H124" s="20"/>
      <c r="I124" s="20"/>
      <c r="J124" s="11">
        <v>45</v>
      </c>
      <c r="K124" s="17">
        <v>6</v>
      </c>
      <c r="L124" s="18" t="s">
        <v>236</v>
      </c>
      <c r="M124" s="16" t="s">
        <v>237</v>
      </c>
      <c r="N124" s="18" t="s">
        <v>238</v>
      </c>
      <c r="O124" s="21"/>
      <c r="P124" s="22" t="s">
        <v>466</v>
      </c>
      <c r="Q124" s="8"/>
      <c r="R124" s="8"/>
    </row>
    <row r="125" ht="18.75" hidden="1" spans="1:18">
      <c r="A125" s="7">
        <v>44840</v>
      </c>
      <c r="B125" s="7" t="s">
        <v>369</v>
      </c>
      <c r="C125" s="8" t="s">
        <v>370</v>
      </c>
      <c r="D125" s="8" t="s">
        <v>468</v>
      </c>
      <c r="E125" s="8" t="s">
        <v>77</v>
      </c>
      <c r="F125" s="20"/>
      <c r="G125" s="20"/>
      <c r="H125" s="20"/>
      <c r="I125" s="20"/>
      <c r="J125" s="11">
        <v>45</v>
      </c>
      <c r="K125" s="17">
        <v>98.6</v>
      </c>
      <c r="L125" s="18" t="s">
        <v>236</v>
      </c>
      <c r="M125" s="16" t="s">
        <v>237</v>
      </c>
      <c r="N125" s="18" t="s">
        <v>263</v>
      </c>
      <c r="O125" s="21"/>
      <c r="P125" s="22" t="s">
        <v>469</v>
      </c>
      <c r="Q125" s="8"/>
      <c r="R125" s="8"/>
    </row>
    <row r="126" ht="18.75" hidden="1" spans="1:18">
      <c r="A126" s="7">
        <v>44840</v>
      </c>
      <c r="B126" s="7" t="s">
        <v>281</v>
      </c>
      <c r="C126" s="8" t="s">
        <v>282</v>
      </c>
      <c r="D126" s="8" t="s">
        <v>470</v>
      </c>
      <c r="E126" s="8" t="s">
        <v>142</v>
      </c>
      <c r="F126" s="20"/>
      <c r="G126" s="20"/>
      <c r="H126" s="20"/>
      <c r="I126" s="20"/>
      <c r="J126" s="11">
        <v>45</v>
      </c>
      <c r="K126" s="17">
        <v>6</v>
      </c>
      <c r="L126" s="18" t="s">
        <v>236</v>
      </c>
      <c r="M126" s="16" t="s">
        <v>237</v>
      </c>
      <c r="N126" s="18" t="s">
        <v>238</v>
      </c>
      <c r="O126" s="21"/>
      <c r="P126" s="22" t="s">
        <v>466</v>
      </c>
      <c r="Q126" s="8"/>
      <c r="R126" s="8"/>
    </row>
    <row r="127" ht="18.75" hidden="1" spans="1:18">
      <c r="A127" s="7">
        <v>44840</v>
      </c>
      <c r="B127" s="7" t="s">
        <v>281</v>
      </c>
      <c r="C127" s="8" t="s">
        <v>282</v>
      </c>
      <c r="D127" s="8" t="s">
        <v>470</v>
      </c>
      <c r="E127" s="8" t="s">
        <v>142</v>
      </c>
      <c r="F127" s="20"/>
      <c r="G127" s="20"/>
      <c r="H127" s="20"/>
      <c r="I127" s="20"/>
      <c r="J127" s="11">
        <v>44</v>
      </c>
      <c r="K127" s="17">
        <v>48.2</v>
      </c>
      <c r="L127" s="18" t="s">
        <v>236</v>
      </c>
      <c r="M127" s="16" t="s">
        <v>237</v>
      </c>
      <c r="N127" s="18" t="s">
        <v>263</v>
      </c>
      <c r="O127" s="21"/>
      <c r="P127" s="22" t="s">
        <v>471</v>
      </c>
      <c r="Q127" s="8"/>
      <c r="R127" s="8"/>
    </row>
    <row r="128" ht="18.75" hidden="1" spans="1:18">
      <c r="A128" s="7">
        <v>44840</v>
      </c>
      <c r="B128" s="7" t="s">
        <v>286</v>
      </c>
      <c r="C128" s="8" t="s">
        <v>287</v>
      </c>
      <c r="D128" s="8" t="s">
        <v>472</v>
      </c>
      <c r="E128" s="8" t="s">
        <v>142</v>
      </c>
      <c r="F128" s="20"/>
      <c r="G128" s="20"/>
      <c r="H128" s="20"/>
      <c r="I128" s="20"/>
      <c r="J128" s="11">
        <v>44</v>
      </c>
      <c r="K128" s="17">
        <v>5.8</v>
      </c>
      <c r="L128" s="18" t="s">
        <v>236</v>
      </c>
      <c r="M128" s="16" t="s">
        <v>237</v>
      </c>
      <c r="N128" s="18" t="s">
        <v>238</v>
      </c>
      <c r="O128" s="21"/>
      <c r="P128" s="22" t="s">
        <v>473</v>
      </c>
      <c r="Q128" s="8"/>
      <c r="R128" s="8"/>
    </row>
    <row r="129" ht="18.75" hidden="1" spans="1:18">
      <c r="A129" s="7">
        <v>44840</v>
      </c>
      <c r="B129" s="7" t="s">
        <v>286</v>
      </c>
      <c r="C129" s="8" t="s">
        <v>287</v>
      </c>
      <c r="D129" s="8" t="s">
        <v>472</v>
      </c>
      <c r="E129" s="8" t="s">
        <v>142</v>
      </c>
      <c r="F129" s="20"/>
      <c r="G129" s="20"/>
      <c r="H129" s="20"/>
      <c r="I129" s="20"/>
      <c r="J129" s="11">
        <v>44</v>
      </c>
      <c r="K129" s="17">
        <v>44</v>
      </c>
      <c r="L129" s="18" t="s">
        <v>333</v>
      </c>
      <c r="M129" s="16" t="s">
        <v>474</v>
      </c>
      <c r="N129" s="18" t="s">
        <v>306</v>
      </c>
      <c r="O129" s="21"/>
      <c r="P129" s="19" t="s">
        <v>475</v>
      </c>
      <c r="Q129" s="8"/>
      <c r="R129" s="8"/>
    </row>
    <row r="130" ht="18.75" hidden="1" spans="1:18">
      <c r="A130" s="7">
        <v>44840</v>
      </c>
      <c r="B130" s="7" t="s">
        <v>286</v>
      </c>
      <c r="C130" s="8" t="s">
        <v>287</v>
      </c>
      <c r="D130" s="8" t="s">
        <v>472</v>
      </c>
      <c r="E130" s="8" t="s">
        <v>142</v>
      </c>
      <c r="F130" s="20"/>
      <c r="G130" s="20"/>
      <c r="H130" s="20"/>
      <c r="I130" s="20"/>
      <c r="J130" s="11">
        <v>44</v>
      </c>
      <c r="K130" s="17">
        <v>81.14</v>
      </c>
      <c r="L130" s="18" t="s">
        <v>236</v>
      </c>
      <c r="M130" s="16" t="s">
        <v>237</v>
      </c>
      <c r="N130" s="18" t="s">
        <v>263</v>
      </c>
      <c r="O130" s="21"/>
      <c r="P130" s="19" t="s">
        <v>476</v>
      </c>
      <c r="Q130" s="8"/>
      <c r="R130" s="8"/>
    </row>
    <row r="131" ht="18.75" hidden="1" spans="1:18">
      <c r="A131" s="7">
        <v>44840</v>
      </c>
      <c r="B131" s="7" t="s">
        <v>240</v>
      </c>
      <c r="C131" s="8" t="s">
        <v>241</v>
      </c>
      <c r="D131" s="8" t="s">
        <v>477</v>
      </c>
      <c r="E131" s="8" t="s">
        <v>141</v>
      </c>
      <c r="F131" s="20"/>
      <c r="G131" s="20"/>
      <c r="H131" s="20"/>
      <c r="I131" s="20"/>
      <c r="J131" s="11">
        <v>34</v>
      </c>
      <c r="K131" s="17">
        <v>45.33</v>
      </c>
      <c r="L131" s="18" t="s">
        <v>236</v>
      </c>
      <c r="M131" s="16" t="s">
        <v>237</v>
      </c>
      <c r="N131" s="18" t="s">
        <v>238</v>
      </c>
      <c r="O131" s="21"/>
      <c r="P131" s="19" t="s">
        <v>478</v>
      </c>
      <c r="Q131" s="8"/>
      <c r="R131" s="8"/>
    </row>
    <row r="132" ht="18.75" hidden="1" spans="1:18">
      <c r="A132" s="7">
        <v>44840</v>
      </c>
      <c r="B132" s="7" t="s">
        <v>78</v>
      </c>
      <c r="C132" s="8" t="s">
        <v>79</v>
      </c>
      <c r="D132" s="8" t="s">
        <v>80</v>
      </c>
      <c r="E132" s="8" t="s">
        <v>81</v>
      </c>
      <c r="F132" s="20"/>
      <c r="G132" s="20"/>
      <c r="H132" s="20"/>
      <c r="I132" s="20"/>
      <c r="J132" s="11">
        <v>24</v>
      </c>
      <c r="K132" s="17">
        <v>12</v>
      </c>
      <c r="L132" s="18" t="s">
        <v>236</v>
      </c>
      <c r="M132" s="16" t="s">
        <v>237</v>
      </c>
      <c r="N132" s="18" t="s">
        <v>238</v>
      </c>
      <c r="O132" s="21"/>
      <c r="P132" s="19" t="s">
        <v>479</v>
      </c>
      <c r="Q132" s="8"/>
      <c r="R132" s="8"/>
    </row>
    <row r="133" ht="18.75" hidden="1" spans="1:18">
      <c r="A133" s="7">
        <v>44840</v>
      </c>
      <c r="B133" s="7" t="s">
        <v>244</v>
      </c>
      <c r="C133" s="8" t="s">
        <v>245</v>
      </c>
      <c r="D133" s="8" t="s">
        <v>480</v>
      </c>
      <c r="E133" s="8" t="s">
        <v>141</v>
      </c>
      <c r="F133" s="20"/>
      <c r="G133" s="20"/>
      <c r="H133" s="20"/>
      <c r="I133" s="20"/>
      <c r="J133" s="11">
        <v>39</v>
      </c>
      <c r="K133" s="17">
        <v>97.5</v>
      </c>
      <c r="L133" s="18" t="s">
        <v>236</v>
      </c>
      <c r="M133" s="16" t="s">
        <v>237</v>
      </c>
      <c r="N133" s="18" t="s">
        <v>238</v>
      </c>
      <c r="O133" s="21"/>
      <c r="P133" s="19" t="s">
        <v>481</v>
      </c>
      <c r="Q133" s="8"/>
      <c r="R133" s="8"/>
    </row>
    <row r="134" ht="18.75" hidden="1" spans="1:18">
      <c r="A134" s="7">
        <v>44840</v>
      </c>
      <c r="B134" s="7" t="s">
        <v>482</v>
      </c>
      <c r="C134" s="8" t="s">
        <v>291</v>
      </c>
      <c r="D134" s="8" t="s">
        <v>483</v>
      </c>
      <c r="E134" s="8" t="s">
        <v>81</v>
      </c>
      <c r="F134" s="20"/>
      <c r="G134" s="20"/>
      <c r="H134" s="20"/>
      <c r="I134" s="20"/>
      <c r="J134" s="11">
        <v>23</v>
      </c>
      <c r="K134" s="17">
        <v>46</v>
      </c>
      <c r="L134" s="18" t="s">
        <v>236</v>
      </c>
      <c r="M134" s="16" t="s">
        <v>237</v>
      </c>
      <c r="N134" s="18" t="s">
        <v>238</v>
      </c>
      <c r="O134" s="21"/>
      <c r="P134" s="19" t="s">
        <v>484</v>
      </c>
      <c r="Q134" s="8"/>
      <c r="R134" s="8"/>
    </row>
    <row r="135" ht="18.75" hidden="1" spans="1:18">
      <c r="A135" s="7">
        <v>44841</v>
      </c>
      <c r="B135" s="7" t="s">
        <v>379</v>
      </c>
      <c r="C135" s="8" t="s">
        <v>295</v>
      </c>
      <c r="D135" s="8" t="s">
        <v>380</v>
      </c>
      <c r="E135" s="8" t="s">
        <v>137</v>
      </c>
      <c r="F135" s="20"/>
      <c r="G135" s="20"/>
      <c r="H135" s="20"/>
      <c r="I135" s="20"/>
      <c r="J135" s="11">
        <v>35</v>
      </c>
      <c r="K135" s="17">
        <v>52.5</v>
      </c>
      <c r="L135" s="18" t="s">
        <v>236</v>
      </c>
      <c r="M135" s="16" t="s">
        <v>485</v>
      </c>
      <c r="N135" s="18" t="s">
        <v>306</v>
      </c>
      <c r="O135" s="21"/>
      <c r="P135" s="19" t="s">
        <v>486</v>
      </c>
      <c r="Q135" s="8"/>
      <c r="R135" s="8"/>
    </row>
    <row r="136" ht="18.75" hidden="1" spans="1:18">
      <c r="A136" s="7">
        <v>44841</v>
      </c>
      <c r="B136" s="7" t="s">
        <v>382</v>
      </c>
      <c r="C136" s="8" t="s">
        <v>295</v>
      </c>
      <c r="D136" s="8" t="s">
        <v>487</v>
      </c>
      <c r="E136" s="8" t="s">
        <v>149</v>
      </c>
      <c r="F136" s="20"/>
      <c r="G136" s="20"/>
      <c r="H136" s="20"/>
      <c r="I136" s="20"/>
      <c r="J136" s="11">
        <v>20</v>
      </c>
      <c r="K136" s="17">
        <v>2.6</v>
      </c>
      <c r="L136" s="18" t="s">
        <v>236</v>
      </c>
      <c r="M136" s="16" t="s">
        <v>237</v>
      </c>
      <c r="N136" s="18" t="s">
        <v>238</v>
      </c>
      <c r="O136" s="21"/>
      <c r="P136" s="19" t="s">
        <v>411</v>
      </c>
      <c r="Q136" s="8"/>
      <c r="R136" s="8"/>
    </row>
    <row r="137" ht="18.75" hidden="1" spans="1:18">
      <c r="A137" s="7">
        <v>44841</v>
      </c>
      <c r="B137" s="7" t="s">
        <v>382</v>
      </c>
      <c r="C137" s="8" t="s">
        <v>295</v>
      </c>
      <c r="D137" s="8" t="s">
        <v>487</v>
      </c>
      <c r="E137" s="8" t="s">
        <v>149</v>
      </c>
      <c r="F137" s="20"/>
      <c r="G137" s="20"/>
      <c r="H137" s="20"/>
      <c r="I137" s="20"/>
      <c r="J137" s="11">
        <v>21</v>
      </c>
      <c r="K137" s="17">
        <v>96</v>
      </c>
      <c r="L137" s="18" t="s">
        <v>236</v>
      </c>
      <c r="M137" s="16" t="s">
        <v>237</v>
      </c>
      <c r="N137" s="18" t="s">
        <v>263</v>
      </c>
      <c r="O137" s="21"/>
      <c r="P137" s="19" t="s">
        <v>488</v>
      </c>
      <c r="Q137" s="8"/>
      <c r="R137" s="8"/>
    </row>
    <row r="138" ht="18.75" hidden="1" spans="1:18">
      <c r="A138" s="7">
        <v>44841</v>
      </c>
      <c r="B138" s="7" t="s">
        <v>299</v>
      </c>
      <c r="C138" s="8" t="s">
        <v>300</v>
      </c>
      <c r="D138" s="8" t="s">
        <v>417</v>
      </c>
      <c r="E138" s="8" t="s">
        <v>135</v>
      </c>
      <c r="F138" s="20"/>
      <c r="G138" s="20"/>
      <c r="H138" s="20"/>
      <c r="I138" s="20"/>
      <c r="J138" s="11">
        <v>37</v>
      </c>
      <c r="K138" s="17">
        <v>15.4</v>
      </c>
      <c r="L138" s="18" t="s">
        <v>236</v>
      </c>
      <c r="M138" s="16" t="s">
        <v>237</v>
      </c>
      <c r="N138" s="18" t="s">
        <v>238</v>
      </c>
      <c r="O138" s="21"/>
      <c r="P138" s="19" t="s">
        <v>421</v>
      </c>
      <c r="Q138" s="8"/>
      <c r="R138" s="8"/>
    </row>
    <row r="139" ht="18.75" hidden="1" spans="1:18">
      <c r="A139" s="7">
        <v>44841</v>
      </c>
      <c r="B139" s="7" t="s">
        <v>299</v>
      </c>
      <c r="C139" s="8" t="s">
        <v>300</v>
      </c>
      <c r="D139" s="8" t="s">
        <v>489</v>
      </c>
      <c r="E139" s="8" t="s">
        <v>135</v>
      </c>
      <c r="F139" s="20"/>
      <c r="G139" s="20"/>
      <c r="H139" s="20"/>
      <c r="I139" s="20"/>
      <c r="J139" s="11">
        <v>37</v>
      </c>
      <c r="K139" s="17">
        <v>15.4</v>
      </c>
      <c r="L139" s="18" t="s">
        <v>236</v>
      </c>
      <c r="M139" s="16" t="s">
        <v>237</v>
      </c>
      <c r="N139" s="18" t="s">
        <v>238</v>
      </c>
      <c r="O139" s="21"/>
      <c r="P139" s="19" t="s">
        <v>421</v>
      </c>
      <c r="Q139" s="8"/>
      <c r="R139" s="8"/>
    </row>
    <row r="140" ht="18.75" hidden="1" spans="1:18">
      <c r="A140" s="7">
        <v>44841</v>
      </c>
      <c r="B140" s="7" t="s">
        <v>308</v>
      </c>
      <c r="C140" s="8" t="s">
        <v>390</v>
      </c>
      <c r="D140" s="8" t="s">
        <v>490</v>
      </c>
      <c r="E140" s="8" t="s">
        <v>137</v>
      </c>
      <c r="F140" s="20"/>
      <c r="G140" s="20"/>
      <c r="H140" s="20"/>
      <c r="I140" s="20"/>
      <c r="J140" s="11">
        <v>35</v>
      </c>
      <c r="K140" s="17">
        <v>70</v>
      </c>
      <c r="L140" s="18" t="s">
        <v>236</v>
      </c>
      <c r="M140" s="16" t="s">
        <v>485</v>
      </c>
      <c r="N140" s="18" t="s">
        <v>306</v>
      </c>
      <c r="O140" s="21"/>
      <c r="P140" s="19" t="s">
        <v>491</v>
      </c>
      <c r="Q140" s="8"/>
      <c r="R140" s="8"/>
    </row>
    <row r="141" ht="18.75" hidden="1" spans="1:18">
      <c r="A141" s="7">
        <v>44841</v>
      </c>
      <c r="B141" s="7" t="s">
        <v>311</v>
      </c>
      <c r="C141" s="8" t="s">
        <v>312</v>
      </c>
      <c r="D141" s="8" t="s">
        <v>422</v>
      </c>
      <c r="E141" s="8" t="s">
        <v>135</v>
      </c>
      <c r="F141" s="20"/>
      <c r="G141" s="20"/>
      <c r="H141" s="20"/>
      <c r="I141" s="20"/>
      <c r="J141" s="11">
        <v>35</v>
      </c>
      <c r="K141" s="17">
        <v>14.6</v>
      </c>
      <c r="L141" s="18" t="s">
        <v>236</v>
      </c>
      <c r="M141" s="16" t="s">
        <v>237</v>
      </c>
      <c r="N141" s="18" t="s">
        <v>238</v>
      </c>
      <c r="O141" s="21"/>
      <c r="P141" s="19" t="s">
        <v>492</v>
      </c>
      <c r="Q141" s="8"/>
      <c r="R141" s="8"/>
    </row>
    <row r="142" ht="18.75" hidden="1" spans="1:18">
      <c r="A142" s="7">
        <v>44841</v>
      </c>
      <c r="B142" s="7" t="s">
        <v>311</v>
      </c>
      <c r="C142" s="8" t="s">
        <v>312</v>
      </c>
      <c r="D142" s="8" t="s">
        <v>493</v>
      </c>
      <c r="E142" s="8" t="s">
        <v>135</v>
      </c>
      <c r="F142" s="20"/>
      <c r="G142" s="20"/>
      <c r="H142" s="20"/>
      <c r="I142" s="20"/>
      <c r="J142" s="11">
        <v>35</v>
      </c>
      <c r="K142" s="17">
        <v>14.6</v>
      </c>
      <c r="L142" s="18" t="s">
        <v>236</v>
      </c>
      <c r="M142" s="16" t="s">
        <v>237</v>
      </c>
      <c r="N142" s="18" t="s">
        <v>238</v>
      </c>
      <c r="O142" s="21"/>
      <c r="P142" s="19" t="s">
        <v>492</v>
      </c>
      <c r="Q142" s="8"/>
      <c r="R142" s="8"/>
    </row>
    <row r="143" ht="18.75" hidden="1" spans="1:18">
      <c r="A143" s="7">
        <v>44841</v>
      </c>
      <c r="B143" s="7" t="s">
        <v>311</v>
      </c>
      <c r="C143" s="8" t="s">
        <v>312</v>
      </c>
      <c r="D143" s="8" t="s">
        <v>494</v>
      </c>
      <c r="E143" s="8" t="s">
        <v>135</v>
      </c>
      <c r="F143" s="20"/>
      <c r="G143" s="20"/>
      <c r="H143" s="20"/>
      <c r="I143" s="20"/>
      <c r="J143" s="11">
        <v>35</v>
      </c>
      <c r="K143" s="17">
        <v>4.7</v>
      </c>
      <c r="L143" s="18" t="s">
        <v>236</v>
      </c>
      <c r="M143" s="16" t="s">
        <v>237</v>
      </c>
      <c r="N143" s="18" t="s">
        <v>238</v>
      </c>
      <c r="O143" s="21"/>
      <c r="P143" s="19" t="s">
        <v>495</v>
      </c>
      <c r="Q143" s="8"/>
      <c r="R143" s="8"/>
    </row>
    <row r="144" ht="18.75" hidden="1" spans="1:18">
      <c r="A144" s="7">
        <v>44841</v>
      </c>
      <c r="B144" s="7" t="s">
        <v>311</v>
      </c>
      <c r="C144" s="8" t="s">
        <v>312</v>
      </c>
      <c r="D144" s="8" t="s">
        <v>494</v>
      </c>
      <c r="E144" s="8" t="s">
        <v>135</v>
      </c>
      <c r="F144" s="20"/>
      <c r="G144" s="20"/>
      <c r="H144" s="20"/>
      <c r="I144" s="20"/>
      <c r="J144" s="11">
        <v>36</v>
      </c>
      <c r="K144" s="17">
        <v>18</v>
      </c>
      <c r="L144" s="18" t="s">
        <v>236</v>
      </c>
      <c r="M144" s="16" t="s">
        <v>237</v>
      </c>
      <c r="N144" s="18" t="s">
        <v>263</v>
      </c>
      <c r="O144" s="21"/>
      <c r="P144" s="19" t="s">
        <v>496</v>
      </c>
      <c r="Q144" s="8"/>
      <c r="R144" s="8"/>
    </row>
    <row r="145" ht="18.75" hidden="1" spans="1:18">
      <c r="A145" s="7">
        <v>44841</v>
      </c>
      <c r="B145" s="7" t="s">
        <v>395</v>
      </c>
      <c r="C145" s="8" t="s">
        <v>317</v>
      </c>
      <c r="D145" s="8" t="s">
        <v>497</v>
      </c>
      <c r="E145" s="8" t="s">
        <v>135</v>
      </c>
      <c r="F145" s="20"/>
      <c r="G145" s="20"/>
      <c r="H145" s="20"/>
      <c r="I145" s="20"/>
      <c r="J145" s="11">
        <v>36</v>
      </c>
      <c r="K145" s="17">
        <v>15</v>
      </c>
      <c r="L145" s="18" t="s">
        <v>236</v>
      </c>
      <c r="M145" s="16" t="s">
        <v>237</v>
      </c>
      <c r="N145" s="18" t="s">
        <v>238</v>
      </c>
      <c r="O145" s="21"/>
      <c r="P145" s="19" t="s">
        <v>498</v>
      </c>
      <c r="Q145" s="8"/>
      <c r="R145" s="8"/>
    </row>
    <row r="146" ht="18.75" hidden="1" spans="1:18">
      <c r="A146" s="7">
        <v>44841</v>
      </c>
      <c r="B146" s="7" t="s">
        <v>395</v>
      </c>
      <c r="C146" s="8" t="s">
        <v>317</v>
      </c>
      <c r="D146" s="8" t="s">
        <v>497</v>
      </c>
      <c r="E146" s="8" t="s">
        <v>135</v>
      </c>
      <c r="F146" s="20"/>
      <c r="G146" s="20"/>
      <c r="H146" s="20"/>
      <c r="I146" s="20"/>
      <c r="J146" s="11">
        <v>36</v>
      </c>
      <c r="K146" s="17">
        <v>26.75</v>
      </c>
      <c r="L146" s="18" t="s">
        <v>236</v>
      </c>
      <c r="M146" s="16" t="s">
        <v>237</v>
      </c>
      <c r="N146" s="18" t="s">
        <v>263</v>
      </c>
      <c r="O146" s="21"/>
      <c r="P146" s="19" t="s">
        <v>499</v>
      </c>
      <c r="Q146" s="8"/>
      <c r="R146" s="8"/>
    </row>
    <row r="147" ht="18.75" hidden="1" spans="1:18">
      <c r="A147" s="7">
        <v>44841</v>
      </c>
      <c r="B147" s="7" t="s">
        <v>395</v>
      </c>
      <c r="C147" s="8" t="s">
        <v>317</v>
      </c>
      <c r="D147" s="8" t="s">
        <v>497</v>
      </c>
      <c r="E147" s="8" t="s">
        <v>135</v>
      </c>
      <c r="F147" s="20"/>
      <c r="G147" s="20"/>
      <c r="H147" s="20"/>
      <c r="I147" s="20"/>
      <c r="J147" s="11">
        <v>36</v>
      </c>
      <c r="K147" s="17">
        <v>36</v>
      </c>
      <c r="L147" s="18" t="s">
        <v>333</v>
      </c>
      <c r="M147" s="16" t="s">
        <v>500</v>
      </c>
      <c r="N147" s="18" t="s">
        <v>306</v>
      </c>
      <c r="O147" s="21"/>
      <c r="P147" s="19" t="s">
        <v>501</v>
      </c>
      <c r="Q147" s="8"/>
      <c r="R147" s="8"/>
    </row>
    <row r="148" ht="18.75" hidden="1" spans="1:18">
      <c r="A148" s="7">
        <v>44841</v>
      </c>
      <c r="B148" s="7" t="s">
        <v>316</v>
      </c>
      <c r="C148" s="8" t="s">
        <v>400</v>
      </c>
      <c r="D148" s="8" t="s">
        <v>502</v>
      </c>
      <c r="E148" s="8" t="s">
        <v>136</v>
      </c>
      <c r="F148" s="20"/>
      <c r="G148" s="20"/>
      <c r="H148" s="20"/>
      <c r="I148" s="20"/>
      <c r="J148" s="11">
        <v>39</v>
      </c>
      <c r="K148" s="17">
        <v>5</v>
      </c>
      <c r="L148" s="18" t="s">
        <v>236</v>
      </c>
      <c r="M148" s="16" t="s">
        <v>237</v>
      </c>
      <c r="N148" s="18" t="s">
        <v>238</v>
      </c>
      <c r="O148" s="21"/>
      <c r="P148" s="19" t="s">
        <v>503</v>
      </c>
      <c r="Q148" s="8"/>
      <c r="R148" s="8"/>
    </row>
    <row r="149" ht="18.75" hidden="1" spans="1:18">
      <c r="A149" s="7">
        <v>44841</v>
      </c>
      <c r="B149" s="7" t="s">
        <v>320</v>
      </c>
      <c r="C149" s="8" t="s">
        <v>321</v>
      </c>
      <c r="D149" s="8" t="s">
        <v>425</v>
      </c>
      <c r="E149" s="8" t="s">
        <v>135</v>
      </c>
      <c r="F149" s="20"/>
      <c r="G149" s="20"/>
      <c r="H149" s="20"/>
      <c r="I149" s="20"/>
      <c r="J149" s="11">
        <v>18</v>
      </c>
      <c r="K149" s="17">
        <v>44.8</v>
      </c>
      <c r="L149" s="18" t="s">
        <v>213</v>
      </c>
      <c r="M149" s="16" t="s">
        <v>405</v>
      </c>
      <c r="N149" s="18" t="s">
        <v>213</v>
      </c>
      <c r="O149" s="21"/>
      <c r="P149" s="19" t="s">
        <v>504</v>
      </c>
      <c r="Q149" s="8"/>
      <c r="R149" s="8"/>
    </row>
    <row r="150" ht="18.75" hidden="1" spans="1:18">
      <c r="A150" s="7">
        <v>44841</v>
      </c>
      <c r="B150" s="7" t="s">
        <v>325</v>
      </c>
      <c r="C150" s="8" t="s">
        <v>321</v>
      </c>
      <c r="D150" s="8" t="s">
        <v>505</v>
      </c>
      <c r="E150" s="8" t="s">
        <v>137</v>
      </c>
      <c r="F150" s="20"/>
      <c r="G150" s="20"/>
      <c r="H150" s="20"/>
      <c r="I150" s="20"/>
      <c r="J150" s="11">
        <v>4</v>
      </c>
      <c r="K150" s="17">
        <v>32</v>
      </c>
      <c r="L150" s="18" t="s">
        <v>236</v>
      </c>
      <c r="M150" s="16" t="s">
        <v>327</v>
      </c>
      <c r="N150" s="18" t="s">
        <v>306</v>
      </c>
      <c r="O150" s="21"/>
      <c r="P150" s="19" t="s">
        <v>506</v>
      </c>
      <c r="Q150" s="8"/>
      <c r="R150" s="8"/>
    </row>
    <row r="151" ht="18.75" spans="1:18">
      <c r="A151" s="7">
        <v>44841</v>
      </c>
      <c r="B151" s="7" t="s">
        <v>329</v>
      </c>
      <c r="C151" s="8" t="s">
        <v>321</v>
      </c>
      <c r="D151" s="8" t="s">
        <v>489</v>
      </c>
      <c r="E151" s="8" t="s">
        <v>135</v>
      </c>
      <c r="F151" s="20"/>
      <c r="G151" s="20"/>
      <c r="H151" s="20"/>
      <c r="I151" s="20"/>
      <c r="J151" s="11">
        <v>1</v>
      </c>
      <c r="K151" s="17">
        <v>12</v>
      </c>
      <c r="L151" s="18" t="s">
        <v>304</v>
      </c>
      <c r="M151" s="15" t="s">
        <v>247</v>
      </c>
      <c r="N151" s="18" t="s">
        <v>331</v>
      </c>
      <c r="O151" s="21"/>
      <c r="P151" s="19" t="s">
        <v>507</v>
      </c>
      <c r="Q151" s="8"/>
      <c r="R151" s="8"/>
    </row>
    <row r="152" ht="18.75" hidden="1" spans="1:18">
      <c r="A152" s="7">
        <v>44841</v>
      </c>
      <c r="B152" s="7" t="s">
        <v>329</v>
      </c>
      <c r="C152" s="8" t="s">
        <v>321</v>
      </c>
      <c r="D152" s="8" t="s">
        <v>489</v>
      </c>
      <c r="E152" s="8" t="s">
        <v>135</v>
      </c>
      <c r="F152" s="20"/>
      <c r="G152" s="20"/>
      <c r="H152" s="20"/>
      <c r="I152" s="20"/>
      <c r="J152" s="11">
        <v>1</v>
      </c>
      <c r="K152" s="17">
        <v>12</v>
      </c>
      <c r="L152" s="18" t="s">
        <v>333</v>
      </c>
      <c r="M152" s="16" t="s">
        <v>500</v>
      </c>
      <c r="N152" s="18" t="s">
        <v>331</v>
      </c>
      <c r="O152" s="21"/>
      <c r="P152" s="19" t="s">
        <v>508</v>
      </c>
      <c r="Q152" s="8"/>
      <c r="R152" s="8"/>
    </row>
    <row r="153" ht="18.75" hidden="1" spans="1:18">
      <c r="A153" s="7">
        <v>44841</v>
      </c>
      <c r="B153" s="7" t="s">
        <v>294</v>
      </c>
      <c r="C153" s="8" t="s">
        <v>413</v>
      </c>
      <c r="D153" s="8" t="s">
        <v>509</v>
      </c>
      <c r="E153" s="8" t="s">
        <v>95</v>
      </c>
      <c r="F153" s="20"/>
      <c r="G153" s="20"/>
      <c r="H153" s="20"/>
      <c r="I153" s="20"/>
      <c r="J153" s="11">
        <v>38</v>
      </c>
      <c r="K153" s="17">
        <v>171</v>
      </c>
      <c r="L153" s="18" t="s">
        <v>236</v>
      </c>
      <c r="M153" s="16" t="s">
        <v>237</v>
      </c>
      <c r="N153" s="18" t="s">
        <v>263</v>
      </c>
      <c r="O153" s="21"/>
      <c r="P153" s="19" t="s">
        <v>510</v>
      </c>
      <c r="Q153" s="8"/>
      <c r="R153" s="8"/>
    </row>
    <row r="154" ht="18.75" hidden="1" spans="1:18">
      <c r="A154" s="7">
        <v>44841</v>
      </c>
      <c r="B154" s="7" t="s">
        <v>345</v>
      </c>
      <c r="C154" s="8" t="s">
        <v>346</v>
      </c>
      <c r="D154" s="8" t="s">
        <v>347</v>
      </c>
      <c r="E154" s="8" t="s">
        <v>141</v>
      </c>
      <c r="F154" s="20"/>
      <c r="G154" s="20"/>
      <c r="H154" s="20"/>
      <c r="I154" s="20"/>
      <c r="J154" s="11">
        <v>42</v>
      </c>
      <c r="K154" s="17">
        <v>5.6</v>
      </c>
      <c r="L154" s="18" t="s">
        <v>236</v>
      </c>
      <c r="M154" s="16" t="s">
        <v>237</v>
      </c>
      <c r="N154" s="18" t="s">
        <v>238</v>
      </c>
      <c r="O154" s="21"/>
      <c r="P154" s="19" t="s">
        <v>511</v>
      </c>
      <c r="Q154" s="8"/>
      <c r="R154" s="8"/>
    </row>
    <row r="155" ht="18.75" hidden="1" spans="1:18">
      <c r="A155" s="7">
        <v>44841</v>
      </c>
      <c r="B155" s="7" t="s">
        <v>345</v>
      </c>
      <c r="C155" s="8" t="s">
        <v>346</v>
      </c>
      <c r="D155" s="8" t="s">
        <v>347</v>
      </c>
      <c r="E155" s="8" t="s">
        <v>141</v>
      </c>
      <c r="F155" s="20"/>
      <c r="G155" s="20"/>
      <c r="H155" s="20"/>
      <c r="I155" s="20"/>
      <c r="J155" s="11">
        <v>42</v>
      </c>
      <c r="K155" s="17">
        <v>49.59</v>
      </c>
      <c r="L155" s="18" t="s">
        <v>236</v>
      </c>
      <c r="M155" s="16" t="s">
        <v>237</v>
      </c>
      <c r="N155" s="18" t="s">
        <v>263</v>
      </c>
      <c r="O155" s="21"/>
      <c r="P155" s="19" t="s">
        <v>512</v>
      </c>
      <c r="Q155" s="8"/>
      <c r="R155" s="8"/>
    </row>
    <row r="156" ht="18.75" hidden="1" spans="1:18">
      <c r="A156" s="7">
        <v>44841</v>
      </c>
      <c r="B156" s="7" t="s">
        <v>350</v>
      </c>
      <c r="C156" s="8" t="s">
        <v>351</v>
      </c>
      <c r="D156" s="8" t="s">
        <v>513</v>
      </c>
      <c r="E156" s="8" t="s">
        <v>146</v>
      </c>
      <c r="F156" s="20"/>
      <c r="G156" s="20"/>
      <c r="H156" s="20"/>
      <c r="I156" s="20"/>
      <c r="J156" s="11">
        <v>45</v>
      </c>
      <c r="K156" s="17">
        <v>6</v>
      </c>
      <c r="L156" s="18" t="s">
        <v>236</v>
      </c>
      <c r="M156" s="16" t="s">
        <v>237</v>
      </c>
      <c r="N156" s="18" t="s">
        <v>238</v>
      </c>
      <c r="O156" s="21"/>
      <c r="P156" s="19" t="s">
        <v>466</v>
      </c>
      <c r="Q156" s="8"/>
      <c r="R156" s="8"/>
    </row>
    <row r="157" ht="18.75" hidden="1" spans="1:18">
      <c r="A157" s="7">
        <v>44841</v>
      </c>
      <c r="B157" s="7" t="s">
        <v>350</v>
      </c>
      <c r="C157" s="8" t="s">
        <v>351</v>
      </c>
      <c r="D157" s="8" t="s">
        <v>514</v>
      </c>
      <c r="E157" s="8" t="s">
        <v>146</v>
      </c>
      <c r="F157" s="20"/>
      <c r="G157" s="20"/>
      <c r="H157" s="20"/>
      <c r="I157" s="20"/>
      <c r="J157" s="11">
        <v>45</v>
      </c>
      <c r="K157" s="17">
        <v>33.75</v>
      </c>
      <c r="L157" s="18" t="s">
        <v>236</v>
      </c>
      <c r="M157" s="16" t="s">
        <v>237</v>
      </c>
      <c r="N157" s="18" t="s">
        <v>238</v>
      </c>
      <c r="O157" s="21"/>
      <c r="P157" s="19" t="s">
        <v>515</v>
      </c>
      <c r="Q157" s="8"/>
      <c r="R157" s="8"/>
    </row>
    <row r="158" ht="18.75" hidden="1" spans="1:18">
      <c r="A158" s="7">
        <v>44841</v>
      </c>
      <c r="B158" s="7" t="s">
        <v>350</v>
      </c>
      <c r="C158" s="8" t="s">
        <v>351</v>
      </c>
      <c r="D158" s="8" t="s">
        <v>514</v>
      </c>
      <c r="E158" s="8" t="s">
        <v>146</v>
      </c>
      <c r="F158" s="20"/>
      <c r="G158" s="20"/>
      <c r="H158" s="20"/>
      <c r="I158" s="20"/>
      <c r="J158" s="11">
        <v>2</v>
      </c>
      <c r="K158" s="17">
        <v>24</v>
      </c>
      <c r="L158" s="16" t="s">
        <v>354</v>
      </c>
      <c r="M158" s="16" t="s">
        <v>355</v>
      </c>
      <c r="N158" s="18" t="s">
        <v>306</v>
      </c>
      <c r="O158" s="21"/>
      <c r="P158" s="19" t="s">
        <v>516</v>
      </c>
      <c r="Q158" s="8"/>
      <c r="R158" s="8"/>
    </row>
    <row r="159" ht="18.75" hidden="1" spans="1:18">
      <c r="A159" s="7">
        <v>44841</v>
      </c>
      <c r="B159" s="7" t="s">
        <v>350</v>
      </c>
      <c r="C159" s="8" t="s">
        <v>351</v>
      </c>
      <c r="D159" s="8" t="s">
        <v>514</v>
      </c>
      <c r="E159" s="8" t="s">
        <v>146</v>
      </c>
      <c r="F159" s="20"/>
      <c r="G159" s="20"/>
      <c r="H159" s="20"/>
      <c r="I159" s="20"/>
      <c r="J159" s="11">
        <v>43</v>
      </c>
      <c r="K159" s="17">
        <v>46</v>
      </c>
      <c r="L159" s="18" t="s">
        <v>236</v>
      </c>
      <c r="M159" s="16" t="s">
        <v>237</v>
      </c>
      <c r="N159" s="18" t="s">
        <v>263</v>
      </c>
      <c r="O159" s="21"/>
      <c r="P159" s="19" t="s">
        <v>517</v>
      </c>
      <c r="Q159" s="8"/>
      <c r="R159" s="8"/>
    </row>
    <row r="160" ht="18.75" hidden="1" spans="1:18">
      <c r="A160" s="7">
        <v>44841</v>
      </c>
      <c r="B160" s="7" t="s">
        <v>254</v>
      </c>
      <c r="C160" s="8" t="s">
        <v>255</v>
      </c>
      <c r="D160" s="8" t="s">
        <v>518</v>
      </c>
      <c r="E160" s="8" t="s">
        <v>141</v>
      </c>
      <c r="F160" s="20"/>
      <c r="G160" s="20"/>
      <c r="H160" s="20"/>
      <c r="I160" s="20"/>
      <c r="J160" s="11">
        <v>43</v>
      </c>
      <c r="K160" s="17">
        <v>5.7</v>
      </c>
      <c r="L160" s="18" t="s">
        <v>236</v>
      </c>
      <c r="M160" s="16" t="s">
        <v>237</v>
      </c>
      <c r="N160" s="18" t="s">
        <v>238</v>
      </c>
      <c r="O160" s="21"/>
      <c r="P160" s="19" t="s">
        <v>519</v>
      </c>
      <c r="Q160" s="8"/>
      <c r="R160" s="8"/>
    </row>
    <row r="161" ht="18.75" hidden="1" spans="1:18">
      <c r="A161" s="7">
        <v>44841</v>
      </c>
      <c r="B161" s="7" t="s">
        <v>260</v>
      </c>
      <c r="C161" s="8" t="s">
        <v>270</v>
      </c>
      <c r="D161" s="8" t="s">
        <v>453</v>
      </c>
      <c r="E161" s="8" t="s">
        <v>143</v>
      </c>
      <c r="F161" s="20"/>
      <c r="G161" s="20"/>
      <c r="H161" s="20"/>
      <c r="I161" s="20"/>
      <c r="J161" s="11">
        <v>22</v>
      </c>
      <c r="K161" s="17">
        <v>2.93</v>
      </c>
      <c r="L161" s="18" t="s">
        <v>236</v>
      </c>
      <c r="M161" s="16" t="s">
        <v>237</v>
      </c>
      <c r="N161" s="18" t="s">
        <v>238</v>
      </c>
      <c r="O161" s="21"/>
      <c r="P161" s="19" t="s">
        <v>446</v>
      </c>
      <c r="Q161" s="8"/>
      <c r="R161" s="8"/>
    </row>
    <row r="162" ht="18.75" hidden="1" spans="1:18">
      <c r="A162" s="7">
        <v>44841</v>
      </c>
      <c r="B162" s="7" t="s">
        <v>260</v>
      </c>
      <c r="C162" s="8" t="s">
        <v>270</v>
      </c>
      <c r="D162" s="8" t="s">
        <v>453</v>
      </c>
      <c r="E162" s="8" t="s">
        <v>143</v>
      </c>
      <c r="F162" s="20"/>
      <c r="G162" s="20"/>
      <c r="H162" s="20"/>
      <c r="I162" s="20"/>
      <c r="J162" s="11">
        <v>22</v>
      </c>
      <c r="K162" s="17">
        <v>77.72</v>
      </c>
      <c r="L162" s="18" t="s">
        <v>236</v>
      </c>
      <c r="M162" s="16" t="s">
        <v>237</v>
      </c>
      <c r="N162" s="18" t="s">
        <v>263</v>
      </c>
      <c r="O162" s="21"/>
      <c r="P162" s="19" t="s">
        <v>520</v>
      </c>
      <c r="Q162" s="8"/>
      <c r="R162" s="8"/>
    </row>
    <row r="163" ht="18.75" hidden="1" spans="1:18">
      <c r="A163" s="7">
        <v>44841</v>
      </c>
      <c r="B163" s="7" t="s">
        <v>265</v>
      </c>
      <c r="C163" s="8" t="s">
        <v>266</v>
      </c>
      <c r="D163" s="8" t="s">
        <v>445</v>
      </c>
      <c r="E163" s="8" t="s">
        <v>143</v>
      </c>
      <c r="F163" s="20"/>
      <c r="G163" s="20"/>
      <c r="H163" s="20"/>
      <c r="I163" s="20"/>
      <c r="J163" s="11">
        <v>22</v>
      </c>
      <c r="K163" s="17">
        <v>82.35</v>
      </c>
      <c r="L163" s="18" t="s">
        <v>236</v>
      </c>
      <c r="M163" s="16" t="s">
        <v>237</v>
      </c>
      <c r="N163" s="18" t="s">
        <v>263</v>
      </c>
      <c r="O163" s="21"/>
      <c r="P163" s="19" t="s">
        <v>521</v>
      </c>
      <c r="Q163" s="8"/>
      <c r="R163" s="8"/>
    </row>
    <row r="164" ht="18.75" hidden="1" spans="1:18">
      <c r="A164" s="7">
        <v>44841</v>
      </c>
      <c r="B164" s="7" t="s">
        <v>269</v>
      </c>
      <c r="C164" s="8" t="s">
        <v>270</v>
      </c>
      <c r="D164" s="8" t="s">
        <v>522</v>
      </c>
      <c r="E164" s="8" t="s">
        <v>141</v>
      </c>
      <c r="F164" s="20"/>
      <c r="G164" s="20"/>
      <c r="H164" s="20"/>
      <c r="I164" s="20"/>
      <c r="J164" s="11">
        <v>42</v>
      </c>
      <c r="K164" s="17">
        <v>5.6</v>
      </c>
      <c r="L164" s="18" t="s">
        <v>236</v>
      </c>
      <c r="M164" s="16" t="s">
        <v>237</v>
      </c>
      <c r="N164" s="18" t="s">
        <v>238</v>
      </c>
      <c r="O164" s="21"/>
      <c r="P164" s="19" t="s">
        <v>450</v>
      </c>
      <c r="Q164" s="8"/>
      <c r="R164" s="8"/>
    </row>
    <row r="165" ht="18.75" hidden="1" spans="1:18">
      <c r="A165" s="7">
        <v>44841</v>
      </c>
      <c r="B165" s="7" t="s">
        <v>269</v>
      </c>
      <c r="C165" s="8" t="s">
        <v>270</v>
      </c>
      <c r="D165" s="8" t="s">
        <v>449</v>
      </c>
      <c r="E165" s="8" t="s">
        <v>141</v>
      </c>
      <c r="F165" s="20"/>
      <c r="G165" s="20"/>
      <c r="H165" s="20"/>
      <c r="I165" s="20"/>
      <c r="J165" s="11">
        <v>42</v>
      </c>
      <c r="K165" s="17">
        <v>5.6</v>
      </c>
      <c r="L165" s="18" t="s">
        <v>236</v>
      </c>
      <c r="M165" s="16" t="s">
        <v>237</v>
      </c>
      <c r="N165" s="18" t="s">
        <v>238</v>
      </c>
      <c r="O165" s="21"/>
      <c r="P165" s="19" t="s">
        <v>450</v>
      </c>
      <c r="Q165" s="8"/>
      <c r="R165" s="8"/>
    </row>
    <row r="166" ht="18.75" hidden="1" spans="1:18">
      <c r="A166" s="7">
        <v>44841</v>
      </c>
      <c r="B166" s="7" t="s">
        <v>269</v>
      </c>
      <c r="C166" s="8" t="s">
        <v>270</v>
      </c>
      <c r="D166" s="8" t="s">
        <v>523</v>
      </c>
      <c r="E166" s="8" t="s">
        <v>141</v>
      </c>
      <c r="F166" s="20"/>
      <c r="G166" s="20"/>
      <c r="H166" s="20"/>
      <c r="I166" s="20"/>
      <c r="J166" s="11">
        <v>42</v>
      </c>
      <c r="K166" s="17">
        <v>5.6</v>
      </c>
      <c r="L166" s="18" t="s">
        <v>236</v>
      </c>
      <c r="M166" s="16" t="s">
        <v>237</v>
      </c>
      <c r="N166" s="18" t="s">
        <v>238</v>
      </c>
      <c r="O166" s="21"/>
      <c r="P166" s="19" t="s">
        <v>450</v>
      </c>
      <c r="Q166" s="8"/>
      <c r="R166" s="8"/>
    </row>
    <row r="167" ht="18.75" hidden="1" spans="1:18">
      <c r="A167" s="7">
        <v>44841</v>
      </c>
      <c r="B167" s="7" t="s">
        <v>273</v>
      </c>
      <c r="C167" s="8" t="s">
        <v>274</v>
      </c>
      <c r="D167" s="8" t="s">
        <v>524</v>
      </c>
      <c r="E167" s="8" t="s">
        <v>143</v>
      </c>
      <c r="F167" s="20"/>
      <c r="G167" s="20"/>
      <c r="H167" s="20"/>
      <c r="I167" s="20"/>
      <c r="J167" s="11">
        <v>4</v>
      </c>
      <c r="K167" s="17">
        <v>48</v>
      </c>
      <c r="L167" s="16" t="s">
        <v>525</v>
      </c>
      <c r="M167" s="16" t="s">
        <v>526</v>
      </c>
      <c r="N167" s="18" t="s">
        <v>331</v>
      </c>
      <c r="O167" s="21"/>
      <c r="P167" s="19" t="s">
        <v>527</v>
      </c>
      <c r="Q167" s="8"/>
      <c r="R167" s="8"/>
    </row>
    <row r="168" ht="18.75" hidden="1" spans="1:18">
      <c r="A168" s="7">
        <v>44841</v>
      </c>
      <c r="B168" s="7" t="s">
        <v>273</v>
      </c>
      <c r="C168" s="8" t="s">
        <v>274</v>
      </c>
      <c r="D168" s="8" t="s">
        <v>524</v>
      </c>
      <c r="E168" s="8" t="s">
        <v>143</v>
      </c>
      <c r="F168" s="20"/>
      <c r="G168" s="20"/>
      <c r="H168" s="20"/>
      <c r="I168" s="20"/>
      <c r="J168" s="11">
        <v>22</v>
      </c>
      <c r="K168" s="17">
        <v>178.2</v>
      </c>
      <c r="L168" s="18" t="s">
        <v>236</v>
      </c>
      <c r="M168" s="16" t="s">
        <v>237</v>
      </c>
      <c r="N168" s="18" t="s">
        <v>263</v>
      </c>
      <c r="O168" s="21"/>
      <c r="P168" s="19" t="s">
        <v>528</v>
      </c>
      <c r="Q168" s="8"/>
      <c r="R168" s="8"/>
    </row>
    <row r="169" ht="18.75" hidden="1" spans="1:18">
      <c r="A169" s="7">
        <v>44841</v>
      </c>
      <c r="B169" s="7" t="s">
        <v>277</v>
      </c>
      <c r="C169" s="8" t="s">
        <v>278</v>
      </c>
      <c r="D169" s="8" t="s">
        <v>529</v>
      </c>
      <c r="E169" s="8" t="s">
        <v>141</v>
      </c>
      <c r="F169" s="20"/>
      <c r="G169" s="20"/>
      <c r="H169" s="20"/>
      <c r="I169" s="20"/>
      <c r="J169" s="11">
        <v>44</v>
      </c>
      <c r="K169" s="17">
        <v>5.86</v>
      </c>
      <c r="L169" s="18" t="s">
        <v>236</v>
      </c>
      <c r="M169" s="16" t="s">
        <v>237</v>
      </c>
      <c r="N169" s="18" t="s">
        <v>238</v>
      </c>
      <c r="O169" s="21"/>
      <c r="P169" s="19" t="s">
        <v>435</v>
      </c>
      <c r="Q169" s="8"/>
      <c r="R169" s="8"/>
    </row>
    <row r="170" ht="18.75" hidden="1" spans="1:18">
      <c r="A170" s="7">
        <v>44841</v>
      </c>
      <c r="B170" s="7" t="s">
        <v>277</v>
      </c>
      <c r="C170" s="8" t="s">
        <v>278</v>
      </c>
      <c r="D170" s="8" t="s">
        <v>457</v>
      </c>
      <c r="E170" s="8" t="s">
        <v>141</v>
      </c>
      <c r="F170" s="20"/>
      <c r="G170" s="20"/>
      <c r="H170" s="20"/>
      <c r="I170" s="20"/>
      <c r="J170" s="11">
        <v>44</v>
      </c>
      <c r="K170" s="17">
        <v>5.86</v>
      </c>
      <c r="L170" s="18" t="s">
        <v>236</v>
      </c>
      <c r="M170" s="16" t="s">
        <v>237</v>
      </c>
      <c r="N170" s="18" t="s">
        <v>238</v>
      </c>
      <c r="O170" s="21"/>
      <c r="P170" s="19" t="s">
        <v>435</v>
      </c>
      <c r="Q170" s="8"/>
      <c r="R170" s="8"/>
    </row>
    <row r="171" ht="18.75" hidden="1" spans="1:18">
      <c r="A171" s="7">
        <v>44841</v>
      </c>
      <c r="B171" s="7" t="s">
        <v>458</v>
      </c>
      <c r="C171" s="8" t="s">
        <v>370</v>
      </c>
      <c r="D171" s="8" t="s">
        <v>530</v>
      </c>
      <c r="E171" s="8" t="s">
        <v>148</v>
      </c>
      <c r="F171" s="20"/>
      <c r="G171" s="20"/>
      <c r="H171" s="20"/>
      <c r="I171" s="20"/>
      <c r="J171" s="11">
        <v>38</v>
      </c>
      <c r="K171" s="17">
        <v>3</v>
      </c>
      <c r="L171" s="18" t="s">
        <v>236</v>
      </c>
      <c r="M171" s="16" t="s">
        <v>237</v>
      </c>
      <c r="N171" s="18" t="s">
        <v>238</v>
      </c>
      <c r="O171" s="21"/>
      <c r="P171" s="19" t="s">
        <v>531</v>
      </c>
      <c r="Q171" s="8"/>
      <c r="R171" s="8"/>
    </row>
    <row r="172" ht="18.75" hidden="1" spans="1:18">
      <c r="A172" s="7">
        <v>44841</v>
      </c>
      <c r="B172" s="7" t="s">
        <v>458</v>
      </c>
      <c r="C172" s="8" t="s">
        <v>370</v>
      </c>
      <c r="D172" s="8" t="s">
        <v>532</v>
      </c>
      <c r="E172" s="8" t="s">
        <v>148</v>
      </c>
      <c r="F172" s="20"/>
      <c r="G172" s="20"/>
      <c r="H172" s="20"/>
      <c r="I172" s="20"/>
      <c r="J172" s="11">
        <v>38</v>
      </c>
      <c r="K172" s="17">
        <v>3</v>
      </c>
      <c r="L172" s="18" t="s">
        <v>236</v>
      </c>
      <c r="M172" s="16" t="s">
        <v>237</v>
      </c>
      <c r="N172" s="18" t="s">
        <v>238</v>
      </c>
      <c r="O172" s="21"/>
      <c r="P172" s="19" t="s">
        <v>531</v>
      </c>
      <c r="Q172" s="8"/>
      <c r="R172" s="8"/>
    </row>
    <row r="173" ht="18.75" hidden="1" spans="1:18">
      <c r="A173" s="7">
        <v>44841</v>
      </c>
      <c r="B173" s="7" t="s">
        <v>458</v>
      </c>
      <c r="C173" s="8" t="s">
        <v>370</v>
      </c>
      <c r="D173" s="8" t="s">
        <v>532</v>
      </c>
      <c r="E173" s="8" t="s">
        <v>148</v>
      </c>
      <c r="F173" s="20"/>
      <c r="G173" s="20"/>
      <c r="H173" s="20"/>
      <c r="I173" s="20"/>
      <c r="J173" s="11">
        <v>35</v>
      </c>
      <c r="K173" s="17">
        <v>120</v>
      </c>
      <c r="L173" s="18" t="s">
        <v>236</v>
      </c>
      <c r="M173" s="16" t="s">
        <v>237</v>
      </c>
      <c r="N173" s="18" t="s">
        <v>263</v>
      </c>
      <c r="O173" s="21"/>
      <c r="P173" s="19" t="s">
        <v>533</v>
      </c>
      <c r="Q173" s="8"/>
      <c r="R173" s="8"/>
    </row>
    <row r="174" ht="18.75" hidden="1" spans="1:18">
      <c r="A174" s="7">
        <v>44841</v>
      </c>
      <c r="B174" s="7" t="s">
        <v>369</v>
      </c>
      <c r="C174" s="8" t="s">
        <v>370</v>
      </c>
      <c r="D174" s="8" t="s">
        <v>465</v>
      </c>
      <c r="E174" s="8" t="s">
        <v>77</v>
      </c>
      <c r="F174" s="20"/>
      <c r="G174" s="20"/>
      <c r="H174" s="20"/>
      <c r="I174" s="20"/>
      <c r="J174" s="11">
        <v>46</v>
      </c>
      <c r="K174" s="17">
        <v>6.13</v>
      </c>
      <c r="L174" s="18" t="s">
        <v>236</v>
      </c>
      <c r="M174" s="16" t="s">
        <v>237</v>
      </c>
      <c r="N174" s="18" t="s">
        <v>238</v>
      </c>
      <c r="O174" s="21"/>
      <c r="P174" s="19" t="s">
        <v>534</v>
      </c>
      <c r="Q174" s="8"/>
      <c r="R174" s="8"/>
    </row>
    <row r="175" ht="18.75" hidden="1" spans="1:18">
      <c r="A175" s="7">
        <v>44841</v>
      </c>
      <c r="B175" s="7" t="s">
        <v>369</v>
      </c>
      <c r="C175" s="8" t="s">
        <v>370</v>
      </c>
      <c r="D175" s="8" t="s">
        <v>467</v>
      </c>
      <c r="E175" s="8" t="s">
        <v>77</v>
      </c>
      <c r="F175" s="20"/>
      <c r="G175" s="20"/>
      <c r="H175" s="20"/>
      <c r="I175" s="20"/>
      <c r="J175" s="11">
        <v>46</v>
      </c>
      <c r="K175" s="17">
        <v>6.13</v>
      </c>
      <c r="L175" s="18" t="s">
        <v>236</v>
      </c>
      <c r="M175" s="16" t="s">
        <v>237</v>
      </c>
      <c r="N175" s="18" t="s">
        <v>238</v>
      </c>
      <c r="O175" s="21"/>
      <c r="P175" s="19" t="s">
        <v>534</v>
      </c>
      <c r="Q175" s="8"/>
      <c r="R175" s="8"/>
    </row>
    <row r="176" ht="18.75" hidden="1" spans="1:18">
      <c r="A176" s="7">
        <v>44841</v>
      </c>
      <c r="B176" s="7" t="s">
        <v>369</v>
      </c>
      <c r="C176" s="8" t="s">
        <v>370</v>
      </c>
      <c r="D176" s="8" t="s">
        <v>468</v>
      </c>
      <c r="E176" s="8" t="s">
        <v>77</v>
      </c>
      <c r="F176" s="20"/>
      <c r="G176" s="20"/>
      <c r="H176" s="20"/>
      <c r="I176" s="20"/>
      <c r="J176" s="11">
        <v>46</v>
      </c>
      <c r="K176" s="17">
        <v>6.13</v>
      </c>
      <c r="L176" s="18" t="s">
        <v>236</v>
      </c>
      <c r="M176" s="16" t="s">
        <v>237</v>
      </c>
      <c r="N176" s="18" t="s">
        <v>238</v>
      </c>
      <c r="O176" s="21"/>
      <c r="P176" s="19" t="s">
        <v>534</v>
      </c>
      <c r="Q176" s="8"/>
      <c r="R176" s="8"/>
    </row>
    <row r="177" ht="18.75" hidden="1" spans="1:18">
      <c r="A177" s="7">
        <v>44841</v>
      </c>
      <c r="B177" s="7" t="s">
        <v>369</v>
      </c>
      <c r="C177" s="8" t="s">
        <v>370</v>
      </c>
      <c r="D177" s="8" t="s">
        <v>535</v>
      </c>
      <c r="E177" s="8" t="s">
        <v>77</v>
      </c>
      <c r="F177" s="20"/>
      <c r="G177" s="20"/>
      <c r="H177" s="20"/>
      <c r="I177" s="20"/>
      <c r="J177" s="11">
        <v>45</v>
      </c>
      <c r="K177" s="17">
        <v>44.56</v>
      </c>
      <c r="L177" s="18" t="s">
        <v>236</v>
      </c>
      <c r="M177" s="16" t="s">
        <v>237</v>
      </c>
      <c r="N177" s="18" t="s">
        <v>263</v>
      </c>
      <c r="O177" s="21"/>
      <c r="P177" s="19" t="s">
        <v>536</v>
      </c>
      <c r="Q177" s="8"/>
      <c r="R177" s="8"/>
    </row>
    <row r="178" ht="18.75" hidden="1" spans="1:18">
      <c r="A178" s="7">
        <v>44841</v>
      </c>
      <c r="B178" s="7" t="s">
        <v>281</v>
      </c>
      <c r="C178" s="8" t="s">
        <v>282</v>
      </c>
      <c r="D178" s="8" t="s">
        <v>537</v>
      </c>
      <c r="E178" s="8" t="s">
        <v>142</v>
      </c>
      <c r="F178" s="20"/>
      <c r="G178" s="20"/>
      <c r="H178" s="20"/>
      <c r="I178" s="20"/>
      <c r="J178" s="11">
        <v>44</v>
      </c>
      <c r="K178" s="17">
        <v>5.86</v>
      </c>
      <c r="L178" s="18" t="s">
        <v>236</v>
      </c>
      <c r="M178" s="16" t="s">
        <v>237</v>
      </c>
      <c r="N178" s="18" t="s">
        <v>238</v>
      </c>
      <c r="O178" s="21"/>
      <c r="P178" s="19" t="s">
        <v>435</v>
      </c>
      <c r="Q178" s="8"/>
      <c r="R178" s="8"/>
    </row>
    <row r="179" ht="18.75" hidden="1" spans="1:18">
      <c r="A179" s="7">
        <v>44841</v>
      </c>
      <c r="B179" s="7" t="s">
        <v>286</v>
      </c>
      <c r="C179" s="8" t="s">
        <v>287</v>
      </c>
      <c r="D179" s="8" t="s">
        <v>288</v>
      </c>
      <c r="E179" s="8" t="s">
        <v>142</v>
      </c>
      <c r="F179" s="20"/>
      <c r="G179" s="20"/>
      <c r="H179" s="20"/>
      <c r="I179" s="20"/>
      <c r="J179" s="11">
        <v>44</v>
      </c>
      <c r="K179" s="17">
        <v>5.8</v>
      </c>
      <c r="L179" s="18" t="s">
        <v>236</v>
      </c>
      <c r="M179" s="16" t="s">
        <v>237</v>
      </c>
      <c r="N179" s="18" t="s">
        <v>238</v>
      </c>
      <c r="O179" s="21"/>
      <c r="P179" s="19" t="s">
        <v>538</v>
      </c>
      <c r="Q179" s="8"/>
      <c r="R179" s="8"/>
    </row>
    <row r="180" ht="18.75" hidden="1" spans="1:18">
      <c r="A180" s="7">
        <v>44841</v>
      </c>
      <c r="B180" s="7" t="s">
        <v>286</v>
      </c>
      <c r="C180" s="8" t="s">
        <v>287</v>
      </c>
      <c r="D180" s="8" t="s">
        <v>288</v>
      </c>
      <c r="E180" s="8" t="s">
        <v>142</v>
      </c>
      <c r="F180" s="20"/>
      <c r="G180" s="20"/>
      <c r="H180" s="20"/>
      <c r="I180" s="20"/>
      <c r="J180" s="11">
        <v>44</v>
      </c>
      <c r="K180" s="17">
        <v>66</v>
      </c>
      <c r="L180" s="18" t="s">
        <v>333</v>
      </c>
      <c r="M180" s="16" t="s">
        <v>474</v>
      </c>
      <c r="N180" s="18" t="s">
        <v>306</v>
      </c>
      <c r="O180" s="21"/>
      <c r="P180" s="19" t="s">
        <v>539</v>
      </c>
      <c r="Q180" s="8"/>
      <c r="R180" s="8"/>
    </row>
    <row r="181" ht="18.75" hidden="1" spans="1:18">
      <c r="A181" s="7">
        <v>44841</v>
      </c>
      <c r="B181" s="7" t="s">
        <v>286</v>
      </c>
      <c r="C181" s="8" t="s">
        <v>287</v>
      </c>
      <c r="D181" s="8" t="s">
        <v>288</v>
      </c>
      <c r="E181" s="8" t="s">
        <v>142</v>
      </c>
      <c r="F181" s="20"/>
      <c r="G181" s="20"/>
      <c r="H181" s="20"/>
      <c r="I181" s="20"/>
      <c r="J181" s="11">
        <v>44</v>
      </c>
      <c r="K181" s="17">
        <v>45.1</v>
      </c>
      <c r="L181" s="18" t="s">
        <v>236</v>
      </c>
      <c r="M181" s="16" t="s">
        <v>237</v>
      </c>
      <c r="N181" s="18" t="s">
        <v>263</v>
      </c>
      <c r="O181" s="21"/>
      <c r="P181" s="19" t="s">
        <v>540</v>
      </c>
      <c r="Q181" s="8"/>
      <c r="R181" s="8"/>
    </row>
    <row r="182" ht="18.75" hidden="1" spans="1:18">
      <c r="A182" s="7">
        <v>44841</v>
      </c>
      <c r="B182" s="7" t="s">
        <v>78</v>
      </c>
      <c r="C182" s="8" t="s">
        <v>79</v>
      </c>
      <c r="D182" s="8" t="s">
        <v>541</v>
      </c>
      <c r="E182" s="8" t="s">
        <v>145</v>
      </c>
      <c r="F182" s="20"/>
      <c r="G182" s="20"/>
      <c r="H182" s="20"/>
      <c r="I182" s="20"/>
      <c r="J182" s="11">
        <v>19</v>
      </c>
      <c r="K182" s="17">
        <v>31.7</v>
      </c>
      <c r="L182" s="18" t="s">
        <v>236</v>
      </c>
      <c r="M182" s="16" t="s">
        <v>237</v>
      </c>
      <c r="N182" s="18" t="s">
        <v>238</v>
      </c>
      <c r="O182" s="21"/>
      <c r="P182" s="19" t="s">
        <v>542</v>
      </c>
      <c r="Q182" s="8"/>
      <c r="R182" s="8"/>
    </row>
    <row r="183" ht="18.75" hidden="1" spans="1:18">
      <c r="A183" s="7">
        <v>44841</v>
      </c>
      <c r="B183" s="7" t="s">
        <v>78</v>
      </c>
      <c r="C183" s="8" t="s">
        <v>79</v>
      </c>
      <c r="D183" s="8" t="s">
        <v>543</v>
      </c>
      <c r="E183" s="8" t="s">
        <v>75</v>
      </c>
      <c r="F183" s="20"/>
      <c r="G183" s="20"/>
      <c r="H183" s="20"/>
      <c r="I183" s="20"/>
      <c r="J183" s="11">
        <v>5</v>
      </c>
      <c r="K183" s="17">
        <v>7</v>
      </c>
      <c r="L183" s="18" t="s">
        <v>236</v>
      </c>
      <c r="M183" s="16" t="s">
        <v>237</v>
      </c>
      <c r="N183" s="18" t="s">
        <v>238</v>
      </c>
      <c r="O183" s="21"/>
      <c r="P183" s="19" t="s">
        <v>544</v>
      </c>
      <c r="Q183" s="8"/>
      <c r="R183" s="8"/>
    </row>
    <row r="184" ht="18.75" hidden="1" spans="1:18">
      <c r="A184" s="7">
        <v>44841</v>
      </c>
      <c r="B184" s="7" t="s">
        <v>240</v>
      </c>
      <c r="C184" s="8" t="s">
        <v>545</v>
      </c>
      <c r="D184" s="8" t="s">
        <v>80</v>
      </c>
      <c r="E184" s="8" t="s">
        <v>141</v>
      </c>
      <c r="F184" s="20"/>
      <c r="G184" s="20"/>
      <c r="H184" s="20"/>
      <c r="I184" s="20"/>
      <c r="J184" s="11">
        <v>29</v>
      </c>
      <c r="K184" s="17">
        <v>4.83</v>
      </c>
      <c r="L184" s="18" t="s">
        <v>236</v>
      </c>
      <c r="M184" s="16" t="s">
        <v>237</v>
      </c>
      <c r="N184" s="18" t="s">
        <v>238</v>
      </c>
      <c r="O184" s="21"/>
      <c r="P184" s="19" t="s">
        <v>546</v>
      </c>
      <c r="Q184" s="8"/>
      <c r="R184" s="8"/>
    </row>
    <row r="185" ht="18.75" hidden="1" spans="1:18">
      <c r="A185" s="7">
        <v>44841</v>
      </c>
      <c r="B185" s="7" t="s">
        <v>547</v>
      </c>
      <c r="C185" s="8" t="s">
        <v>548</v>
      </c>
      <c r="D185" s="8" t="s">
        <v>549</v>
      </c>
      <c r="E185" s="8" t="s">
        <v>146</v>
      </c>
      <c r="F185" s="20"/>
      <c r="G185" s="20"/>
      <c r="H185" s="20"/>
      <c r="I185" s="20"/>
      <c r="J185" s="11">
        <v>36</v>
      </c>
      <c r="K185" s="17">
        <v>48</v>
      </c>
      <c r="L185" s="18" t="s">
        <v>236</v>
      </c>
      <c r="M185" s="16" t="s">
        <v>237</v>
      </c>
      <c r="N185" s="18" t="s">
        <v>238</v>
      </c>
      <c r="O185" s="21"/>
      <c r="P185" s="19" t="s">
        <v>550</v>
      </c>
      <c r="Q185" s="8"/>
      <c r="R185" s="8"/>
    </row>
    <row r="186" ht="18.75" hidden="1" spans="1:18">
      <c r="A186" s="7">
        <v>44841</v>
      </c>
      <c r="B186" s="7" t="s">
        <v>96</v>
      </c>
      <c r="C186" s="8" t="s">
        <v>97</v>
      </c>
      <c r="D186" s="8" t="s">
        <v>551</v>
      </c>
      <c r="E186" s="8" t="s">
        <v>132</v>
      </c>
      <c r="F186" s="20"/>
      <c r="G186" s="20"/>
      <c r="H186" s="20"/>
      <c r="I186" s="20"/>
      <c r="J186" s="11">
        <v>23</v>
      </c>
      <c r="K186" s="17">
        <v>11.5</v>
      </c>
      <c r="L186" s="18" t="s">
        <v>236</v>
      </c>
      <c r="M186" s="16" t="s">
        <v>237</v>
      </c>
      <c r="N186" s="18" t="s">
        <v>238</v>
      </c>
      <c r="O186" s="21"/>
      <c r="P186" s="19" t="s">
        <v>552</v>
      </c>
      <c r="Q186" s="8"/>
      <c r="R186" s="8"/>
    </row>
    <row r="187" ht="18.75" hidden="1" spans="1:18">
      <c r="A187" s="7">
        <v>44841</v>
      </c>
      <c r="B187" s="7" t="s">
        <v>244</v>
      </c>
      <c r="C187" s="8" t="s">
        <v>245</v>
      </c>
      <c r="D187" s="8" t="s">
        <v>553</v>
      </c>
      <c r="E187" s="8" t="s">
        <v>137</v>
      </c>
      <c r="F187" s="20"/>
      <c r="G187" s="20"/>
      <c r="H187" s="20"/>
      <c r="I187" s="20"/>
      <c r="J187" s="11">
        <v>39</v>
      </c>
      <c r="K187" s="17">
        <v>91</v>
      </c>
      <c r="L187" s="18" t="s">
        <v>236</v>
      </c>
      <c r="M187" s="16" t="s">
        <v>237</v>
      </c>
      <c r="N187" s="18" t="s">
        <v>238</v>
      </c>
      <c r="O187" s="21"/>
      <c r="P187" s="19" t="s">
        <v>554</v>
      </c>
      <c r="Q187" s="8"/>
      <c r="R187" s="8"/>
    </row>
    <row r="188" ht="18.75" spans="1:18">
      <c r="A188" s="7">
        <v>44841</v>
      </c>
      <c r="B188" s="7" t="s">
        <v>244</v>
      </c>
      <c r="C188" s="8" t="s">
        <v>245</v>
      </c>
      <c r="D188" s="8" t="s">
        <v>553</v>
      </c>
      <c r="E188" s="8" t="s">
        <v>137</v>
      </c>
      <c r="F188" s="20"/>
      <c r="G188" s="20"/>
      <c r="H188" s="20"/>
      <c r="I188" s="20"/>
      <c r="J188" s="11">
        <v>1</v>
      </c>
      <c r="K188" s="17">
        <v>12</v>
      </c>
      <c r="L188" s="18" t="s">
        <v>304</v>
      </c>
      <c r="M188" s="15" t="s">
        <v>247</v>
      </c>
      <c r="N188" s="18" t="s">
        <v>331</v>
      </c>
      <c r="O188" s="21"/>
      <c r="P188" s="19" t="s">
        <v>555</v>
      </c>
      <c r="Q188" s="8"/>
      <c r="R188" s="8"/>
    </row>
    <row r="189" ht="18.75" hidden="1" spans="1:18">
      <c r="A189" s="7">
        <v>44841</v>
      </c>
      <c r="B189" s="7" t="s">
        <v>244</v>
      </c>
      <c r="C189" s="8" t="s">
        <v>245</v>
      </c>
      <c r="D189" s="8" t="s">
        <v>553</v>
      </c>
      <c r="E189" s="8" t="s">
        <v>137</v>
      </c>
      <c r="F189" s="20"/>
      <c r="G189" s="20"/>
      <c r="H189" s="20"/>
      <c r="I189" s="20"/>
      <c r="J189" s="11">
        <v>40</v>
      </c>
      <c r="K189" s="17">
        <v>170</v>
      </c>
      <c r="L189" s="18" t="s">
        <v>236</v>
      </c>
      <c r="M189" s="15" t="s">
        <v>247</v>
      </c>
      <c r="N189" s="18" t="s">
        <v>248</v>
      </c>
      <c r="O189" s="21"/>
      <c r="P189" s="19" t="s">
        <v>556</v>
      </c>
      <c r="Q189" s="8"/>
      <c r="R189" s="8"/>
    </row>
    <row r="190" ht="18.75" hidden="1" spans="1:18">
      <c r="A190" s="7">
        <v>44841</v>
      </c>
      <c r="B190" s="7" t="s">
        <v>482</v>
      </c>
      <c r="C190" s="8" t="s">
        <v>291</v>
      </c>
      <c r="D190" s="8" t="s">
        <v>557</v>
      </c>
      <c r="E190" s="8" t="s">
        <v>81</v>
      </c>
      <c r="F190" s="20"/>
      <c r="G190" s="20"/>
      <c r="H190" s="20"/>
      <c r="I190" s="20"/>
      <c r="J190" s="11">
        <v>33</v>
      </c>
      <c r="K190" s="17">
        <v>16.5</v>
      </c>
      <c r="L190" s="18" t="s">
        <v>236</v>
      </c>
      <c r="M190" s="16" t="s">
        <v>237</v>
      </c>
      <c r="N190" s="18" t="s">
        <v>238</v>
      </c>
      <c r="O190" s="21"/>
      <c r="P190" s="19" t="s">
        <v>558</v>
      </c>
      <c r="Q190" s="8"/>
      <c r="R190" s="8"/>
    </row>
    <row r="191" ht="18.75" hidden="1" spans="1:18">
      <c r="A191" s="7">
        <v>44841</v>
      </c>
      <c r="B191" s="7" t="s">
        <v>250</v>
      </c>
      <c r="C191" s="8" t="s">
        <v>251</v>
      </c>
      <c r="D191" s="8" t="s">
        <v>559</v>
      </c>
      <c r="E191" s="8" t="s">
        <v>135</v>
      </c>
      <c r="F191" s="20"/>
      <c r="G191" s="20"/>
      <c r="H191" s="20"/>
      <c r="I191" s="20"/>
      <c r="J191" s="11">
        <v>37</v>
      </c>
      <c r="K191" s="17">
        <v>49</v>
      </c>
      <c r="L191" s="18" t="s">
        <v>236</v>
      </c>
      <c r="M191" s="16" t="s">
        <v>237</v>
      </c>
      <c r="N191" s="18" t="s">
        <v>238</v>
      </c>
      <c r="O191" s="21"/>
      <c r="P191" s="19" t="s">
        <v>560</v>
      </c>
      <c r="Q191" s="8"/>
      <c r="R191" s="8"/>
    </row>
    <row r="192" s="1" customFormat="1" spans="1:18">
      <c r="A192" s="23" t="s">
        <v>117</v>
      </c>
      <c r="B192" s="23"/>
      <c r="C192" s="23"/>
      <c r="D192" s="11"/>
      <c r="E192" s="20"/>
      <c r="F192" s="20"/>
      <c r="G192" s="20"/>
      <c r="H192" s="20"/>
      <c r="I192" s="20"/>
      <c r="J192" s="20"/>
      <c r="K192" s="24">
        <f>SUBTOTAL(9,K3:K191)</f>
        <v>153</v>
      </c>
      <c r="L192" s="16"/>
      <c r="M192" s="16"/>
      <c r="N192" s="16"/>
      <c r="O192" s="8"/>
      <c r="P192" s="25"/>
      <c r="Q192" s="26"/>
      <c r="R192" s="27"/>
    </row>
    <row r="193" s="2" customFormat="1" ht="22.05" customHeight="1" spans="1:13">
      <c r="A193" s="28"/>
      <c r="B193" s="29"/>
      <c r="C193" s="29"/>
      <c r="D193" s="30"/>
      <c r="E193" s="31"/>
      <c r="F193" s="32"/>
      <c r="G193" s="32"/>
      <c r="H193" s="32"/>
      <c r="I193" s="32"/>
      <c r="J193" s="32"/>
      <c r="K193" s="32"/>
      <c r="L193" s="44"/>
      <c r="M193" s="45"/>
    </row>
    <row r="194" s="2" customFormat="1" ht="55.95" customHeight="1" spans="1:9">
      <c r="A194" s="33" t="s">
        <v>561</v>
      </c>
      <c r="B194" s="34" t="s">
        <v>562</v>
      </c>
      <c r="C194" s="33" t="s">
        <v>563</v>
      </c>
      <c r="D194" s="35" t="s">
        <v>564</v>
      </c>
      <c r="E194" s="35" t="s">
        <v>565</v>
      </c>
      <c r="F194" s="36" t="s">
        <v>566</v>
      </c>
      <c r="G194" s="37" t="s">
        <v>567</v>
      </c>
      <c r="H194" s="36" t="s">
        <v>568</v>
      </c>
      <c r="I194" s="36"/>
    </row>
    <row r="195" s="1" customFormat="1" ht="31.95" customHeight="1" spans="1:14">
      <c r="A195" s="8" t="s">
        <v>236</v>
      </c>
      <c r="B195" s="17">
        <f t="shared" ref="B195:B208" si="0">SUMIF(L:L,A195,K:K)</f>
        <v>8099.806</v>
      </c>
      <c r="C195" s="38">
        <f>SUM(B195:B208)</f>
        <v>8782.606</v>
      </c>
      <c r="D195" s="38">
        <v>48251</v>
      </c>
      <c r="E195" s="39">
        <f t="shared" ref="E195:E208" si="1">+B195/$C$195</f>
        <v>0.922255421682357</v>
      </c>
      <c r="F195" s="39">
        <f>+E195</f>
        <v>0.922255421682357</v>
      </c>
      <c r="G195" s="39">
        <f t="shared" ref="G195:G208" si="2">B195/$D$195</f>
        <v>0.167868147810408</v>
      </c>
      <c r="H195" s="40"/>
      <c r="I195" s="46"/>
      <c r="J195" s="2"/>
      <c r="K195" s="2"/>
      <c r="L195" s="2"/>
      <c r="M195" s="2"/>
      <c r="N195" s="1" t="s">
        <v>569</v>
      </c>
    </row>
    <row r="196" s="1" customFormat="1" ht="31.95" customHeight="1" spans="1:16384">
      <c r="A196" s="8" t="s">
        <v>304</v>
      </c>
      <c r="B196" s="17">
        <f t="shared" si="0"/>
        <v>153</v>
      </c>
      <c r="C196" s="38"/>
      <c r="D196" s="38"/>
      <c r="E196" s="39">
        <f t="shared" si="1"/>
        <v>0.0174207974261853</v>
      </c>
      <c r="F196" s="39">
        <f t="shared" ref="F196:F208" si="3">+E196+F195</f>
        <v>0.939676219108543</v>
      </c>
      <c r="G196" s="39">
        <f t="shared" si="2"/>
        <v>0.00317091873743549</v>
      </c>
      <c r="H196" s="40"/>
      <c r="I196" s="46"/>
      <c r="XFA196" s="8"/>
      <c r="XFB196" s="17"/>
      <c r="XFC196" s="50"/>
      <c r="XFD196" s="50"/>
    </row>
    <row r="197" s="1" customFormat="1" ht="31.95" customHeight="1" spans="1:16384">
      <c r="A197" s="8" t="s">
        <v>570</v>
      </c>
      <c r="B197" s="17">
        <f t="shared" si="0"/>
        <v>0</v>
      </c>
      <c r="C197" s="38"/>
      <c r="D197" s="38"/>
      <c r="E197" s="39">
        <f t="shared" si="1"/>
        <v>0</v>
      </c>
      <c r="F197" s="39">
        <f t="shared" si="3"/>
        <v>0.939676219108543</v>
      </c>
      <c r="G197" s="39">
        <f t="shared" si="2"/>
        <v>0</v>
      </c>
      <c r="H197" s="40"/>
      <c r="I197" s="46"/>
      <c r="XFA197" s="8"/>
      <c r="XFB197" s="17"/>
      <c r="XFC197" s="50"/>
      <c r="XFD197" s="50"/>
    </row>
    <row r="198" s="1" customFormat="1" ht="31.95" customHeight="1" spans="1:16384">
      <c r="A198" s="8" t="s">
        <v>213</v>
      </c>
      <c r="B198" s="17">
        <f t="shared" si="0"/>
        <v>253.8</v>
      </c>
      <c r="C198" s="38"/>
      <c r="D198" s="38"/>
      <c r="E198" s="39">
        <f t="shared" si="1"/>
        <v>0.0288980286716722</v>
      </c>
      <c r="F198" s="39">
        <f t="shared" si="3"/>
        <v>0.968574247780215</v>
      </c>
      <c r="G198" s="39">
        <f t="shared" si="2"/>
        <v>0.00525999461151064</v>
      </c>
      <c r="H198" s="40"/>
      <c r="I198" s="46"/>
      <c r="XFA198" s="8"/>
      <c r="XFB198" s="17"/>
      <c r="XFC198" s="50"/>
      <c r="XFD198" s="50"/>
    </row>
    <row r="199" s="1" customFormat="1" ht="31.95" customHeight="1" spans="1:16384">
      <c r="A199" s="8" t="s">
        <v>571</v>
      </c>
      <c r="B199" s="17">
        <f t="shared" si="0"/>
        <v>0</v>
      </c>
      <c r="C199" s="38"/>
      <c r="D199" s="38"/>
      <c r="E199" s="39">
        <f t="shared" si="1"/>
        <v>0</v>
      </c>
      <c r="F199" s="39">
        <f t="shared" si="3"/>
        <v>0.968574247780215</v>
      </c>
      <c r="G199" s="39">
        <f t="shared" si="2"/>
        <v>0</v>
      </c>
      <c r="H199" s="40"/>
      <c r="I199" s="46"/>
      <c r="XFA199" s="8"/>
      <c r="XFB199" s="17"/>
      <c r="XFC199" s="50"/>
      <c r="XFD199" s="50"/>
    </row>
    <row r="200" s="1" customFormat="1" ht="31.95" customHeight="1" spans="1:16384">
      <c r="A200" s="8" t="s">
        <v>333</v>
      </c>
      <c r="B200" s="17">
        <f t="shared" si="0"/>
        <v>193</v>
      </c>
      <c r="C200" s="38"/>
      <c r="D200" s="38"/>
      <c r="E200" s="39">
        <f t="shared" si="1"/>
        <v>0.0219752542696325</v>
      </c>
      <c r="F200" s="39">
        <f t="shared" si="3"/>
        <v>0.990549502049847</v>
      </c>
      <c r="G200" s="39">
        <f t="shared" si="2"/>
        <v>0.00399991710016373</v>
      </c>
      <c r="H200" s="40"/>
      <c r="I200" s="46"/>
      <c r="XFA200" s="8"/>
      <c r="XFB200" s="17"/>
      <c r="XFC200" s="50"/>
      <c r="XFD200" s="50"/>
    </row>
    <row r="201" s="1" customFormat="1" ht="31.95" customHeight="1" spans="1:16384">
      <c r="A201" s="8" t="s">
        <v>572</v>
      </c>
      <c r="B201" s="17">
        <f t="shared" si="0"/>
        <v>0</v>
      </c>
      <c r="C201" s="38"/>
      <c r="D201" s="38"/>
      <c r="E201" s="39">
        <f t="shared" si="1"/>
        <v>0</v>
      </c>
      <c r="F201" s="39">
        <f t="shared" si="3"/>
        <v>0.990549502049847</v>
      </c>
      <c r="G201" s="39">
        <f t="shared" si="2"/>
        <v>0</v>
      </c>
      <c r="H201" s="40"/>
      <c r="I201" s="46"/>
      <c r="XFA201" s="8"/>
      <c r="XFB201" s="17"/>
      <c r="XFC201" s="50"/>
      <c r="XFD201" s="50"/>
    </row>
    <row r="202" s="1" customFormat="1" ht="31.95" customHeight="1" spans="1:16384">
      <c r="A202" s="8" t="s">
        <v>525</v>
      </c>
      <c r="B202" s="17">
        <f t="shared" si="0"/>
        <v>48</v>
      </c>
      <c r="C202" s="38"/>
      <c r="D202" s="38"/>
      <c r="E202" s="39">
        <f t="shared" si="1"/>
        <v>0.00546534821213658</v>
      </c>
      <c r="F202" s="39">
        <f t="shared" si="3"/>
        <v>0.996014850261984</v>
      </c>
      <c r="G202" s="39">
        <f t="shared" si="2"/>
        <v>0.00099479803527388</v>
      </c>
      <c r="H202" s="40"/>
      <c r="I202" s="46"/>
      <c r="XFA202" s="8"/>
      <c r="XFB202" s="17"/>
      <c r="XFC202" s="50"/>
      <c r="XFD202" s="50"/>
    </row>
    <row r="203" s="1" customFormat="1" ht="31.95" customHeight="1" spans="1:16384">
      <c r="A203" s="8" t="s">
        <v>573</v>
      </c>
      <c r="B203" s="17">
        <f t="shared" si="0"/>
        <v>0</v>
      </c>
      <c r="C203" s="38"/>
      <c r="D203" s="38"/>
      <c r="E203" s="39">
        <f t="shared" si="1"/>
        <v>0</v>
      </c>
      <c r="F203" s="39">
        <f t="shared" si="3"/>
        <v>0.996014850261984</v>
      </c>
      <c r="G203" s="39">
        <f t="shared" si="2"/>
        <v>0</v>
      </c>
      <c r="H203" s="40"/>
      <c r="I203" s="46"/>
      <c r="XFA203" s="8"/>
      <c r="XFB203" s="17"/>
      <c r="XFC203" s="50"/>
      <c r="XFD203" s="50"/>
    </row>
    <row r="204" s="1" customFormat="1" ht="31.95" customHeight="1" spans="1:16384">
      <c r="A204" s="8" t="s">
        <v>354</v>
      </c>
      <c r="B204" s="17">
        <f t="shared" si="0"/>
        <v>35</v>
      </c>
      <c r="C204" s="38"/>
      <c r="D204" s="38"/>
      <c r="E204" s="39">
        <f t="shared" si="1"/>
        <v>0.00398514973801626</v>
      </c>
      <c r="F204" s="39">
        <f t="shared" si="3"/>
        <v>1</v>
      </c>
      <c r="G204" s="39">
        <f t="shared" si="2"/>
        <v>0.000725373567387204</v>
      </c>
      <c r="H204" s="40"/>
      <c r="I204" s="46"/>
      <c r="XFA204" s="8"/>
      <c r="XFB204" s="17"/>
      <c r="XFC204" s="50"/>
      <c r="XFD204" s="50"/>
    </row>
    <row r="205" s="1" customFormat="1" ht="31.95" customHeight="1" spans="1:16384">
      <c r="A205" s="8" t="s">
        <v>574</v>
      </c>
      <c r="B205" s="17">
        <f t="shared" si="0"/>
        <v>0</v>
      </c>
      <c r="C205" s="38"/>
      <c r="D205" s="38"/>
      <c r="E205" s="39">
        <f t="shared" si="1"/>
        <v>0</v>
      </c>
      <c r="F205" s="39">
        <f t="shared" si="3"/>
        <v>1</v>
      </c>
      <c r="G205" s="39">
        <f t="shared" si="2"/>
        <v>0</v>
      </c>
      <c r="H205" s="40"/>
      <c r="I205" s="46"/>
      <c r="XFA205" s="8"/>
      <c r="XFB205" s="17"/>
      <c r="XFC205" s="50"/>
      <c r="XFD205" s="50"/>
    </row>
    <row r="206" s="1" customFormat="1" ht="31.95" customHeight="1" spans="1:16384">
      <c r="A206" s="8" t="s">
        <v>575</v>
      </c>
      <c r="B206" s="17">
        <f t="shared" si="0"/>
        <v>0</v>
      </c>
      <c r="C206" s="38"/>
      <c r="D206" s="38"/>
      <c r="E206" s="39">
        <f t="shared" si="1"/>
        <v>0</v>
      </c>
      <c r="F206" s="39">
        <f t="shared" si="3"/>
        <v>1</v>
      </c>
      <c r="G206" s="39">
        <f t="shared" si="2"/>
        <v>0</v>
      </c>
      <c r="H206" s="40"/>
      <c r="I206" s="46"/>
      <c r="XFA206" s="8"/>
      <c r="XFB206" s="17"/>
      <c r="XFC206" s="50"/>
      <c r="XFD206" s="50"/>
    </row>
    <row r="207" s="1" customFormat="1" ht="31.95" customHeight="1" spans="1:16384">
      <c r="A207" s="8" t="s">
        <v>576</v>
      </c>
      <c r="B207" s="17">
        <f t="shared" si="0"/>
        <v>0</v>
      </c>
      <c r="C207" s="38"/>
      <c r="D207" s="38"/>
      <c r="E207" s="39">
        <f t="shared" si="1"/>
        <v>0</v>
      </c>
      <c r="F207" s="39">
        <f t="shared" si="3"/>
        <v>1</v>
      </c>
      <c r="G207" s="39">
        <f t="shared" si="2"/>
        <v>0</v>
      </c>
      <c r="H207" s="40"/>
      <c r="I207" s="46"/>
      <c r="XFA207" s="8"/>
      <c r="XFB207" s="17"/>
      <c r="XFC207" s="50"/>
      <c r="XFD207" s="50"/>
    </row>
    <row r="208" s="1" customFormat="1" ht="31.95" customHeight="1" spans="1:16384">
      <c r="A208" s="8" t="s">
        <v>577</v>
      </c>
      <c r="B208" s="17">
        <f t="shared" si="0"/>
        <v>0</v>
      </c>
      <c r="C208" s="38"/>
      <c r="D208" s="38"/>
      <c r="E208" s="39">
        <f t="shared" si="1"/>
        <v>0</v>
      </c>
      <c r="F208" s="39">
        <f t="shared" si="3"/>
        <v>1</v>
      </c>
      <c r="G208" s="39">
        <f t="shared" si="2"/>
        <v>0</v>
      </c>
      <c r="H208" s="40"/>
      <c r="I208" s="46"/>
      <c r="XFA208" s="8"/>
      <c r="XFB208" s="17"/>
      <c r="XFC208" s="50"/>
      <c r="XFD208" s="50"/>
    </row>
    <row r="217" s="1" customFormat="1" ht="31.95" customHeight="1" spans="1:19">
      <c r="A217" s="4"/>
      <c r="B217" s="41"/>
      <c r="C217" s="41"/>
      <c r="D217" s="42"/>
      <c r="E217" s="42"/>
      <c r="F217" s="42"/>
      <c r="G217" s="42"/>
      <c r="H217" s="42"/>
      <c r="I217" s="42"/>
      <c r="J217" s="42"/>
      <c r="K217" s="47"/>
      <c r="L217" s="2"/>
      <c r="M217" s="4"/>
      <c r="N217" s="2"/>
      <c r="O217" s="2"/>
      <c r="P217" s="48"/>
      <c r="Q217" s="48"/>
      <c r="R217" s="48"/>
      <c r="S217" s="2"/>
    </row>
    <row r="218" s="1" customFormat="1" ht="31.95" customHeight="1" spans="1:19">
      <c r="A218" s="4"/>
      <c r="B218" s="41"/>
      <c r="C218" s="41"/>
      <c r="D218" s="42"/>
      <c r="E218" s="42"/>
      <c r="F218" s="42"/>
      <c r="G218" s="42"/>
      <c r="H218" s="42"/>
      <c r="I218" s="42"/>
      <c r="J218" s="42"/>
      <c r="K218" s="47"/>
      <c r="L218" s="2"/>
      <c r="M218" s="4"/>
      <c r="N218" s="2"/>
      <c r="O218" s="2"/>
      <c r="P218" s="48"/>
      <c r="Q218" s="48"/>
      <c r="R218" s="48"/>
      <c r="S218" s="2"/>
    </row>
    <row r="219" s="2" customFormat="1" ht="31.95" customHeight="1" spans="1:18">
      <c r="A219" s="4"/>
      <c r="B219" s="43"/>
      <c r="C219" s="43"/>
      <c r="D219" s="42"/>
      <c r="E219" s="42"/>
      <c r="F219" s="42"/>
      <c r="G219" s="42"/>
      <c r="H219" s="42"/>
      <c r="I219" s="42"/>
      <c r="J219" s="42"/>
      <c r="K219" s="47"/>
      <c r="M219" s="4"/>
      <c r="O219" s="48"/>
      <c r="P219" s="48"/>
      <c r="Q219" s="48"/>
      <c r="R219" s="48"/>
    </row>
    <row r="242" spans="14:14">
      <c r="N242" s="49"/>
    </row>
  </sheetData>
  <autoFilter ref="A2:XFD191">
    <filterColumn colId="11">
      <customFilters>
        <customFilter operator="equal" val="品质"/>
      </customFilters>
    </filterColumn>
    <extLst/>
  </autoFilter>
  <mergeCells count="19">
    <mergeCell ref="A1:R1"/>
    <mergeCell ref="A192:B192"/>
    <mergeCell ref="H194:I194"/>
    <mergeCell ref="H195:I195"/>
    <mergeCell ref="H196:I196"/>
    <mergeCell ref="H197:I197"/>
    <mergeCell ref="H198:I198"/>
    <mergeCell ref="H199:I199"/>
    <mergeCell ref="H200:I200"/>
    <mergeCell ref="H201:I201"/>
    <mergeCell ref="H202:I202"/>
    <mergeCell ref="H203:I203"/>
    <mergeCell ref="H204:I204"/>
    <mergeCell ref="H205:I205"/>
    <mergeCell ref="H206:I206"/>
    <mergeCell ref="H207:I207"/>
    <mergeCell ref="H208:I208"/>
    <mergeCell ref="C195:C208"/>
    <mergeCell ref="D195:D208"/>
  </mergeCells>
  <dataValidations count="2">
    <dataValidation type="list" allowBlank="1" showInputMessage="1" showErrorMessage="1" errorTitle="拉线是否输错" sqref="B35 C35 B36 C36 B37 C37 B38 C38 B39 C39 B40 C40 B41 C41 B42 C42 B43 C43 B44 C44 B45 C45 B46 C46 B47 C47 B48 C48 B52 C52 B53 C53 B54 C54 B55 C55 B56 C56 B57 C57 B58 C58 B59 C59 B60 C60 B61 C61 B62 C62 B63 C63 B64 C64 B65 C65 B66 C66 B67 C67 B68 C68 B69 C69 B70 C70 B74 C74 B75 C75 B76 C76 B77 C77 B78 C78 B79 C79 B80 C80 B81 C81 B192 C192 B49:B51 B71:B73 C49:C51 C71:C73" errorStyle="information">
      <formula1/>
    </dataValidation>
    <dataValidation type="list" allowBlank="1" showInputMessage="1" showErrorMessage="1" errorTitle="拉线是否输错" sqref="B193 C193 B194" errorStyle="information">
      <formula1>[1]拉线、制程!#REF!</formula1>
    </dataValidation>
  </dataValidations>
  <printOptions horizontalCentered="1"/>
  <pageMargins left="0" right="0" top="0" bottom="0" header="0" footer="0"/>
  <pageSetup paperSize="9" scale="10"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1 " > < c o m m e n t   s : r e f = " E 7 "   r g b C l r = " A F C 7 C 4 " / > < c o m m e n t   s : r e f = " E 1 3 "   r g b C l r = " A F C 7 C 4 " / > < / c o m m e n t L i s t > < c o m m e n t L i s t   s h e e t S t i d = " 9 " > < c o m m e n t   s : r e f = " T 9 "   r g b C l r = " 6 9 9 C 8 C " / > < c o m m e n t   s : r e f = " I 1 2 "   r g b C l r = " 6 9 9 C 8 C " / > < c o m m e n t   s : r e f = " T 1 3 "   r g b C l r = " 6 9 9 C 8 C " / > < c o m m e n t   s : r e f = " I 1 4 "   r g b C l r = " 6 9 9 C 8 C " / > < c o m m e n t   s : r e f = " T 1 4 "   r g b C l r = " 6 9 9 C 8 C " / > < / c o m m e n t L i s t > < c o m m e n t L i s t   s h e e t S t i d = " 6 " > < c o m m e n t   s : r e f = " G 1 0 "   r g b C l r = " 1 4 C 3 E 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交付指标</vt:lpstr>
      <vt:lpstr>盈亏</vt:lpstr>
      <vt:lpstr>试产</vt:lpstr>
      <vt:lpstr>代工收入</vt:lpstr>
      <vt:lpstr>上线齐套率</vt:lpstr>
      <vt:lpstr>MPS达成状况</vt:lpstr>
      <vt:lpstr>10月份损失工时汇总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Barry.张</dc:creator>
  <cp:lastModifiedBy>渐行渐远</cp:lastModifiedBy>
  <dcterms:created xsi:type="dcterms:W3CDTF">2022-09-06T07:03:00Z</dcterms:created>
  <dcterms:modified xsi:type="dcterms:W3CDTF">2023-07-13T03:40:18Z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004ADE06677E4E4CBE538EE7476FC707_13</vt:lpwstr>
  </property>
  <property fmtid="{D5CDD505-2E9C-101B-9397-08002B2CF9AE}" pid="3" name="KSOProductBuildVer">
    <vt:lpwstr>2052-11.1.0.14309</vt:lpwstr>
  </property>
  <property fmtid="{D5CDD505-2E9C-101B-9397-08002B2CF9AE}" pid="4" name="KSOReadingLayout">
    <vt:bool>true</vt:bool>
  </property>
</Properties>
</file>