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a\Documents\GitHub\CCRE_Fall_2023\Session10_Ta\"/>
    </mc:Choice>
  </mc:AlternateContent>
  <xr:revisionPtr revIDLastSave="0" documentId="13_ncr:1_{B8B73ABF-38E9-44CD-A994-A1FAC2481C45}" xr6:coauthVersionLast="47" xr6:coauthVersionMax="47" xr10:uidLastSave="{00000000-0000-0000-0000-000000000000}"/>
  <bookViews>
    <workbookView xWindow="-120" yWindow="-120" windowWidth="23280" windowHeight="14880" xr2:uid="{B436F009-C256-45AF-8A86-3FC16F5F08B3}"/>
  </bookViews>
  <sheets>
    <sheet name="Sheet1" sheetId="1" r:id="rId1"/>
  </sheets>
  <calcPr calcId="191029" iterateDelta="1.0000000000000001E-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J30" i="1"/>
  <c r="G30" i="1"/>
  <c r="G26" i="1"/>
  <c r="G25" i="1"/>
  <c r="B20" i="1"/>
  <c r="K6" i="1"/>
  <c r="L6" i="1"/>
  <c r="M6" i="1"/>
  <c r="K4" i="1"/>
  <c r="L4" i="1"/>
  <c r="M4" i="1"/>
  <c r="J4" i="1"/>
  <c r="J6" i="1" s="1"/>
  <c r="N11" i="1"/>
  <c r="K11" i="1"/>
  <c r="L11" i="1"/>
  <c r="M11" i="1"/>
  <c r="J11" i="1"/>
  <c r="B12" i="1"/>
  <c r="B10" i="1"/>
  <c r="B15" i="1" s="1"/>
  <c r="B9" i="1"/>
  <c r="B7" i="1"/>
  <c r="F5" i="1" s="1"/>
  <c r="F4" i="1"/>
  <c r="B8" i="1"/>
  <c r="F7" i="1" l="1"/>
  <c r="F8" i="1" s="1"/>
  <c r="F9" i="1"/>
  <c r="F6" i="1"/>
  <c r="B16" i="1" s="1"/>
  <c r="F18" i="1" l="1"/>
  <c r="F19" i="1" s="1"/>
  <c r="B14" i="1"/>
  <c r="B18" i="1" s="1"/>
  <c r="B23" i="1" s="1"/>
  <c r="F20" i="1" l="1"/>
  <c r="B21" i="1" s="1"/>
  <c r="B19" i="1"/>
  <c r="B25" i="1"/>
  <c r="B26" i="1" s="1"/>
</calcChain>
</file>

<file path=xl/sharedStrings.xml><?xml version="1.0" encoding="utf-8"?>
<sst xmlns="http://schemas.openxmlformats.org/spreadsheetml/2006/main" count="63" uniqueCount="57">
  <si>
    <t>[-]</t>
  </si>
  <si>
    <t>kg/m3</t>
  </si>
  <si>
    <t>m</t>
  </si>
  <si>
    <t>K</t>
  </si>
  <si>
    <t>m2</t>
  </si>
  <si>
    <t>m3</t>
  </si>
  <si>
    <t>Input data</t>
  </si>
  <si>
    <t>calculated</t>
  </si>
  <si>
    <t>mass of catalyst</t>
  </si>
  <si>
    <t>kg</t>
  </si>
  <si>
    <t>catalyst density</t>
  </si>
  <si>
    <t>volume of catalyst</t>
  </si>
  <si>
    <t>epsi_mf</t>
  </si>
  <si>
    <t>d_reactor</t>
  </si>
  <si>
    <t>A_reactor</t>
  </si>
  <si>
    <t>Hbed_mf</t>
  </si>
  <si>
    <t>g</t>
  </si>
  <si>
    <t>m/s2</t>
  </si>
  <si>
    <t>d_particle</t>
  </si>
  <si>
    <t>gas density</t>
  </si>
  <si>
    <t>gas viscosity</t>
  </si>
  <si>
    <t>Pa s</t>
  </si>
  <si>
    <t>Pressure</t>
  </si>
  <si>
    <t xml:space="preserve">Pa  </t>
  </si>
  <si>
    <t>T</t>
  </si>
  <si>
    <t>species</t>
  </si>
  <si>
    <t>H2O</t>
  </si>
  <si>
    <t>mw</t>
  </si>
  <si>
    <t>mw_mix</t>
  </si>
  <si>
    <t>kg/kmol</t>
  </si>
  <si>
    <t>molar fraction</t>
  </si>
  <si>
    <t>mw*molar_fraction</t>
  </si>
  <si>
    <t>A</t>
  </si>
  <si>
    <t>B</t>
  </si>
  <si>
    <t>C</t>
  </si>
  <si>
    <t>vmf</t>
  </si>
  <si>
    <t>m/s</t>
  </si>
  <si>
    <t>=0</t>
  </si>
  <si>
    <t>vt</t>
  </si>
  <si>
    <t>Re_particle</t>
  </si>
  <si>
    <t>f(vt)</t>
  </si>
  <si>
    <t>volume of particle</t>
  </si>
  <si>
    <t>cd1</t>
  </si>
  <si>
    <t>cd2</t>
  </si>
  <si>
    <t>d_bubble_max</t>
  </si>
  <si>
    <t xml:space="preserve">cm </t>
  </si>
  <si>
    <t>mm/s</t>
  </si>
  <si>
    <t>m/s  (input first guess at the beginning)</t>
  </si>
  <si>
    <t>Re &lt; 0.4</t>
  </si>
  <si>
    <t>vt/vmf</t>
  </si>
  <si>
    <t>MeOH</t>
  </si>
  <si>
    <t>DME</t>
  </si>
  <si>
    <t>Ar</t>
  </si>
  <si>
    <t>Mass</t>
  </si>
  <si>
    <t>mole</t>
  </si>
  <si>
    <t xml:space="preserve">vt </t>
  </si>
  <si>
    <t>deltaP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</si>
</sst>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1" fontId="2" fillId="0" borderId="0" xfId="0" applyNumberFormat="1" applyFont="1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quotePrefix="1" applyFont="1"/>
    <xf numFmtId="0" fontId="4" fillId="0" borderId="0" xfId="0" applyFont="1"/>
    <xf numFmtId="2" fontId="2" fillId="0" borderId="0" xfId="0" applyNumberFormat="1" applyFont="1"/>
    <xf numFmtId="0" fontId="5" fillId="0" borderId="0" xfId="0" applyFont="1" applyAlignment="1">
      <alignment horizontal="left" vertical="center" indent="1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2" fillId="0" borderId="0" xfId="0" quotePrefix="1" applyFont="1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3C87F-6A1A-44E3-803B-77CA0E49823B}">
  <dimension ref="A3:P30"/>
  <sheetViews>
    <sheetView tabSelected="1" zoomScale="90" zoomScaleNormal="90" workbookViewId="0">
      <selection activeCell="N15" sqref="N15"/>
    </sheetView>
  </sheetViews>
  <sheetFormatPr defaultRowHeight="15" x14ac:dyDescent="0.25"/>
  <cols>
    <col min="1" max="2" width="13.28515625" bestFit="1" customWidth="1"/>
    <col min="5" max="5" width="17.7109375" customWidth="1"/>
    <col min="6" max="6" width="12.140625" bestFit="1" customWidth="1"/>
    <col min="8" max="8" width="9.7109375" bestFit="1" customWidth="1"/>
    <col min="9" max="9" width="16.5703125" bestFit="1" customWidth="1"/>
    <col min="10" max="10" width="9.140625" bestFit="1" customWidth="1"/>
  </cols>
  <sheetData>
    <row r="3" spans="1:16" x14ac:dyDescent="0.25">
      <c r="A3" s="2" t="s">
        <v>6</v>
      </c>
      <c r="E3" s="2" t="s">
        <v>7</v>
      </c>
      <c r="I3" s="9" t="s">
        <v>25</v>
      </c>
      <c r="J3" s="10" t="s">
        <v>50</v>
      </c>
      <c r="K3" s="10" t="s">
        <v>51</v>
      </c>
      <c r="L3" s="10" t="s">
        <v>26</v>
      </c>
      <c r="M3" s="10" t="s">
        <v>52</v>
      </c>
      <c r="N3" s="10"/>
      <c r="O3" s="10"/>
      <c r="P3" s="10"/>
    </row>
    <row r="4" spans="1:16" x14ac:dyDescent="0.25">
      <c r="A4" s="4" t="s">
        <v>8</v>
      </c>
      <c r="B4" s="4">
        <v>0.1</v>
      </c>
      <c r="C4" s="4" t="s">
        <v>9</v>
      </c>
      <c r="D4" s="4"/>
      <c r="E4" s="4" t="s">
        <v>11</v>
      </c>
      <c r="F4" s="4">
        <f xml:space="preserve"> B4/B5</f>
        <v>7.874015748031497E-5</v>
      </c>
      <c r="G4" s="4" t="s">
        <v>5</v>
      </c>
      <c r="I4" s="10" t="s">
        <v>30</v>
      </c>
      <c r="J4" s="11">
        <f xml:space="preserve"> J9/J10/$N$11</f>
        <v>0.75172121597288433</v>
      </c>
      <c r="K4" s="11">
        <f t="shared" ref="K4:M4" si="0" xml:space="preserve"> K9/K10/$N$11</f>
        <v>0</v>
      </c>
      <c r="L4" s="11">
        <f t="shared" si="0"/>
        <v>0</v>
      </c>
      <c r="M4" s="11">
        <f t="shared" si="0"/>
        <v>0.24827878402711578</v>
      </c>
      <c r="N4" s="12"/>
      <c r="O4" s="12"/>
      <c r="P4" s="12"/>
    </row>
    <row r="5" spans="1:16" x14ac:dyDescent="0.25">
      <c r="A5" s="4" t="s">
        <v>10</v>
      </c>
      <c r="B5" s="4">
        <v>1270</v>
      </c>
      <c r="C5" s="4" t="s">
        <v>1</v>
      </c>
      <c r="D5" s="5"/>
      <c r="E5" s="4" t="s">
        <v>14</v>
      </c>
      <c r="F5" s="7">
        <f xml:space="preserve"> 0.25 * PI()* B7^2</f>
        <v>1.6619025137490004E-3</v>
      </c>
      <c r="G5" t="s">
        <v>4</v>
      </c>
      <c r="I5" s="10" t="s">
        <v>27</v>
      </c>
      <c r="J5" s="12">
        <v>32</v>
      </c>
      <c r="K5" s="12">
        <v>46</v>
      </c>
      <c r="L5" s="12">
        <v>18</v>
      </c>
      <c r="M5" s="12">
        <v>40</v>
      </c>
      <c r="N5" s="12"/>
      <c r="O5" s="12"/>
      <c r="P5" s="12"/>
    </row>
    <row r="6" spans="1:16" x14ac:dyDescent="0.25">
      <c r="A6" t="s">
        <v>12</v>
      </c>
      <c r="B6">
        <v>0.40500000000000003</v>
      </c>
      <c r="C6" t="s">
        <v>0</v>
      </c>
      <c r="D6" s="5"/>
      <c r="E6" s="4" t="s">
        <v>15</v>
      </c>
      <c r="F6" s="7">
        <f xml:space="preserve"> F4/(F5*(1-B6))</f>
        <v>7.9629459629403238E-2</v>
      </c>
      <c r="G6" s="4" t="s">
        <v>2</v>
      </c>
      <c r="I6" s="13" t="s">
        <v>31</v>
      </c>
      <c r="J6" s="11">
        <f>J5*J4</f>
        <v>24.055078911132298</v>
      </c>
      <c r="K6" s="11">
        <f t="shared" ref="K6:M6" si="1">K5*K4</f>
        <v>0</v>
      </c>
      <c r="L6" s="11">
        <f t="shared" si="1"/>
        <v>0</v>
      </c>
      <c r="M6" s="11">
        <f t="shared" si="1"/>
        <v>9.9311513610846305</v>
      </c>
      <c r="N6" s="12"/>
      <c r="O6" s="12"/>
      <c r="P6" s="12"/>
    </row>
    <row r="7" spans="1:16" x14ac:dyDescent="0.25">
      <c r="A7" s="4" t="s">
        <v>13</v>
      </c>
      <c r="B7" s="4">
        <f xml:space="preserve"> 0.046</f>
        <v>4.5999999999999999E-2</v>
      </c>
      <c r="C7" s="4" t="s">
        <v>2</v>
      </c>
      <c r="D7" s="4"/>
      <c r="E7" s="4" t="s">
        <v>28</v>
      </c>
      <c r="F7" s="4">
        <f xml:space="preserve"> SUM(J6:P6)</f>
        <v>33.986230272216929</v>
      </c>
      <c r="G7" s="4" t="s">
        <v>29</v>
      </c>
    </row>
    <row r="8" spans="1:16" x14ac:dyDescent="0.25">
      <c r="A8" s="4" t="s">
        <v>16</v>
      </c>
      <c r="B8" s="4">
        <f>9.81</f>
        <v>9.81</v>
      </c>
      <c r="C8" s="4" t="s">
        <v>17</v>
      </c>
      <c r="D8" s="6"/>
      <c r="E8" s="4" t="s">
        <v>19</v>
      </c>
      <c r="F8" s="4">
        <f xml:space="preserve"> B11*F7*0.001/(8.314*B12)</f>
        <v>0.7381261993384407</v>
      </c>
      <c r="G8" s="4" t="s">
        <v>1</v>
      </c>
    </row>
    <row r="9" spans="1:16" x14ac:dyDescent="0.25">
      <c r="A9" s="4" t="s">
        <v>18</v>
      </c>
      <c r="B9" s="4">
        <f>0.000108</f>
        <v>1.08E-4</v>
      </c>
      <c r="C9" s="4" t="s">
        <v>2</v>
      </c>
      <c r="D9" s="4"/>
      <c r="E9" s="4" t="s">
        <v>41</v>
      </c>
      <c r="F9">
        <f xml:space="preserve"> PI()*B9^3/6</f>
        <v>6.5958366080648421E-13</v>
      </c>
      <c r="G9" s="4" t="s">
        <v>5</v>
      </c>
      <c r="I9" t="s">
        <v>53</v>
      </c>
      <c r="J9">
        <v>0.7097</v>
      </c>
      <c r="K9">
        <v>0</v>
      </c>
      <c r="L9">
        <v>0</v>
      </c>
      <c r="M9">
        <v>0.29299999999999998</v>
      </c>
    </row>
    <row r="10" spans="1:16" x14ac:dyDescent="0.25">
      <c r="A10" s="4" t="s">
        <v>20</v>
      </c>
      <c r="B10" s="1">
        <f>0.0000295</f>
        <v>2.9499999999999999E-5</v>
      </c>
      <c r="C10" s="4" t="s">
        <v>21</v>
      </c>
      <c r="D10" s="4"/>
      <c r="E10" s="1"/>
      <c r="F10" s="4"/>
      <c r="G10" s="4"/>
      <c r="I10" t="s">
        <v>27</v>
      </c>
      <c r="J10" s="12">
        <v>32</v>
      </c>
      <c r="K10" s="12">
        <v>46</v>
      </c>
      <c r="L10" s="12">
        <v>18</v>
      </c>
      <c r="M10" s="12">
        <v>40</v>
      </c>
    </row>
    <row r="11" spans="1:16" x14ac:dyDescent="0.25">
      <c r="A11" s="4" t="s">
        <v>22</v>
      </c>
      <c r="B11" s="4">
        <v>101325</v>
      </c>
      <c r="C11" s="4" t="s">
        <v>23</v>
      </c>
      <c r="D11" s="4"/>
      <c r="E11" s="1"/>
      <c r="F11" s="4"/>
      <c r="G11" s="4"/>
      <c r="I11" t="s">
        <v>54</v>
      </c>
      <c r="J11">
        <f>J9/J10</f>
        <v>2.2178125E-2</v>
      </c>
      <c r="K11">
        <f t="shared" ref="K11:M11" si="2">K9/K10</f>
        <v>0</v>
      </c>
      <c r="L11">
        <f t="shared" si="2"/>
        <v>0</v>
      </c>
      <c r="M11">
        <f t="shared" si="2"/>
        <v>7.3249999999999999E-3</v>
      </c>
      <c r="N11">
        <f xml:space="preserve"> SUM(J11:M11)</f>
        <v>2.9503124999999998E-2</v>
      </c>
    </row>
    <row r="12" spans="1:16" x14ac:dyDescent="0.25">
      <c r="A12" s="4" t="s">
        <v>24</v>
      </c>
      <c r="B12" s="7">
        <f xml:space="preserve"> 288 + 273.15</f>
        <v>561.15</v>
      </c>
      <c r="C12" s="4" t="s">
        <v>3</v>
      </c>
      <c r="D12" s="4"/>
      <c r="E12" s="4"/>
      <c r="F12" s="4"/>
      <c r="G12" s="4"/>
    </row>
    <row r="13" spans="1:16" x14ac:dyDescent="0.25">
      <c r="A13" s="4"/>
      <c r="B13" s="4"/>
      <c r="C13" s="4"/>
      <c r="D13" s="4"/>
      <c r="E13" s="4"/>
      <c r="F13" s="4"/>
      <c r="G13" s="4"/>
    </row>
    <row r="14" spans="1:16" x14ac:dyDescent="0.25">
      <c r="A14" s="4" t="s">
        <v>32</v>
      </c>
      <c r="B14" s="4">
        <f xml:space="preserve"> 7/4*(1-B6)/B6^3*F8/B9</f>
        <v>107126.47382287042</v>
      </c>
      <c r="C14" s="4"/>
      <c r="D14" s="4"/>
      <c r="J14" s="15"/>
      <c r="N14">
        <f xml:space="preserve"> N11/(F5*F6)</f>
        <v>222.94036406249995</v>
      </c>
    </row>
    <row r="15" spans="1:16" x14ac:dyDescent="0.25">
      <c r="A15" s="4" t="s">
        <v>33</v>
      </c>
      <c r="B15" s="1">
        <f xml:space="preserve"> 150*(1-B6)^2/B6^3*B10/B9^2</f>
        <v>2021783.3974702349</v>
      </c>
      <c r="C15" s="4"/>
      <c r="D15" s="4"/>
      <c r="J15" s="15"/>
    </row>
    <row r="16" spans="1:16" x14ac:dyDescent="0.25">
      <c r="A16" s="4" t="s">
        <v>34</v>
      </c>
      <c r="B16" s="4">
        <f xml:space="preserve"> -B4*B8/(F5*F6)</f>
        <v>-7412.9264999999996</v>
      </c>
      <c r="C16" s="4"/>
      <c r="D16" s="1"/>
      <c r="J16" s="15"/>
    </row>
    <row r="17" spans="1:14" ht="18.75" x14ac:dyDescent="0.25">
      <c r="D17" s="4"/>
      <c r="N17" s="8"/>
    </row>
    <row r="18" spans="1:14" x14ac:dyDescent="0.25">
      <c r="A18" s="4" t="s">
        <v>35</v>
      </c>
      <c r="B18" s="1">
        <f xml:space="preserve"> (-B15+SQRT(B15^2-4*B14*B16))/(2*B14)</f>
        <v>3.6658164871501198E-3</v>
      </c>
      <c r="C18" s="4" t="s">
        <v>36</v>
      </c>
      <c r="E18" t="s">
        <v>39</v>
      </c>
      <c r="F18" s="16">
        <f xml:space="preserve"> F8*B9*B20/B10</f>
        <v>5.9436650978092823E-2</v>
      </c>
    </row>
    <row r="19" spans="1:14" x14ac:dyDescent="0.25">
      <c r="A19" s="4"/>
      <c r="B19" s="1">
        <f>B18*1000</f>
        <v>3.6658164871501198</v>
      </c>
      <c r="C19" s="4" t="s">
        <v>46</v>
      </c>
      <c r="E19" t="s">
        <v>42</v>
      </c>
      <c r="F19" s="16">
        <f>24/F18</f>
        <v>403.79125682646429</v>
      </c>
      <c r="G19" t="s">
        <v>48</v>
      </c>
    </row>
    <row r="20" spans="1:14" x14ac:dyDescent="0.25">
      <c r="A20" s="1" t="s">
        <v>38</v>
      </c>
      <c r="B20" s="7">
        <f>B18*6</f>
        <v>2.199489892290072E-2</v>
      </c>
      <c r="C20" s="4" t="s">
        <v>47</v>
      </c>
      <c r="E20" t="s">
        <v>43</v>
      </c>
      <c r="F20" s="16">
        <f xml:space="preserve"> 24/F18*(1+0.15*F18^0.687)</f>
        <v>412.50136392889789</v>
      </c>
    </row>
    <row r="21" spans="1:14" x14ac:dyDescent="0.25">
      <c r="A21" s="4" t="s">
        <v>40</v>
      </c>
      <c r="B21" s="1">
        <f xml:space="preserve"> F9*(B5-F8)*B8-0.5*F8*B20^2*F20*PI()*B9^2*0.25</f>
        <v>7.538084122197236E-9</v>
      </c>
      <c r="C21" s="14" t="s">
        <v>37</v>
      </c>
    </row>
    <row r="22" spans="1:14" x14ac:dyDescent="0.25">
      <c r="C22" s="4"/>
    </row>
    <row r="23" spans="1:14" x14ac:dyDescent="0.25">
      <c r="A23" s="4" t="s">
        <v>49</v>
      </c>
      <c r="B23" s="7">
        <f xml:space="preserve"> B20/B18</f>
        <v>6</v>
      </c>
      <c r="C23" s="4"/>
      <c r="G23" s="4"/>
    </row>
    <row r="24" spans="1:14" x14ac:dyDescent="0.25">
      <c r="F24" s="4"/>
      <c r="G24" s="4"/>
    </row>
    <row r="25" spans="1:14" x14ac:dyDescent="0.25">
      <c r="A25" s="4" t="s">
        <v>44</v>
      </c>
      <c r="B25" s="7">
        <f xml:space="preserve"> 0.652*(F5*10000*(0.25*100-B18*100))^0.4</f>
        <v>7.2293572505466148</v>
      </c>
      <c r="C25" s="4" t="s">
        <v>45</v>
      </c>
      <c r="F25" s="4" t="s">
        <v>55</v>
      </c>
      <c r="G25" s="1">
        <f xml:space="preserve"> B9^2*B8*(1270-F8)/18/B10</f>
        <v>0.27351001424833726</v>
      </c>
    </row>
    <row r="26" spans="1:14" x14ac:dyDescent="0.25">
      <c r="B26" s="7">
        <f xml:space="preserve"> B25/100</f>
        <v>7.2293572505466142E-2</v>
      </c>
      <c r="C26" s="4" t="s">
        <v>2</v>
      </c>
      <c r="F26" s="4"/>
      <c r="G26" s="7">
        <f>G25/B18</f>
        <v>74.610940074899787</v>
      </c>
    </row>
    <row r="27" spans="1:14" x14ac:dyDescent="0.25">
      <c r="A27" s="4"/>
      <c r="B27" s="1"/>
      <c r="C27" s="4"/>
      <c r="D27" s="4"/>
      <c r="E27" s="7"/>
      <c r="F27" s="4"/>
      <c r="G27" s="4"/>
    </row>
    <row r="28" spans="1:14" x14ac:dyDescent="0.25">
      <c r="F28" s="3"/>
    </row>
    <row r="30" spans="1:14" x14ac:dyDescent="0.25">
      <c r="F30" t="s">
        <v>56</v>
      </c>
      <c r="G30" s="16">
        <f xml:space="preserve"> F6*(150*(1-B6)^2/B6^3*B10*6*B18/B9^2)+(1.75*(1-B6)/B6^3*F8*(6*B18)^2/B9)</f>
        <v>3592.8613589265974</v>
      </c>
      <c r="J30" s="16">
        <f>6*B18</f>
        <v>2.199489892290072E-2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Cafaro</dc:creator>
  <cp:lastModifiedBy>Sina Ghanbari</cp:lastModifiedBy>
  <dcterms:created xsi:type="dcterms:W3CDTF">2023-11-22T13:28:48Z</dcterms:created>
  <dcterms:modified xsi:type="dcterms:W3CDTF">2024-06-25T14:01:11Z</dcterms:modified>
</cp:coreProperties>
</file>