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\Documents\GitHub\CCRE_Fall_2023\Session13_Ta\"/>
    </mc:Choice>
  </mc:AlternateContent>
  <xr:revisionPtr revIDLastSave="0" documentId="13_ncr:1_{722DA3CB-B1A9-42A2-906E-09FB802EAC9A}" xr6:coauthVersionLast="47" xr6:coauthVersionMax="47" xr10:uidLastSave="{00000000-0000-0000-0000-000000000000}"/>
  <bookViews>
    <workbookView xWindow="-120" yWindow="-120" windowWidth="23280" windowHeight="14880" activeTab="1" xr2:uid="{D8C94763-68ED-4754-B889-67D69145CD04}"/>
  </bookViews>
  <sheets>
    <sheet name="ex1" sheetId="6" r:id="rId1"/>
    <sheet name="ex2 (2)" sheetId="9" r:id="rId2"/>
    <sheet name="ex2" sheetId="7" r:id="rId3"/>
  </sheets>
  <calcPr calcId="191029" iterateDelta="1.0000000000000001E-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9" l="1"/>
  <c r="N9" i="9"/>
  <c r="N10" i="9"/>
  <c r="N11" i="9"/>
  <c r="N12" i="9"/>
  <c r="N13" i="9"/>
  <c r="N14" i="9"/>
  <c r="N15" i="9"/>
  <c r="N16" i="9"/>
  <c r="N17" i="9"/>
  <c r="N24" i="9"/>
  <c r="N25" i="9"/>
  <c r="N26" i="9"/>
  <c r="N27" i="9"/>
  <c r="N28" i="9"/>
  <c r="N29" i="9"/>
  <c r="N30" i="9"/>
  <c r="N31" i="9"/>
  <c r="N32" i="9"/>
  <c r="N23" i="9"/>
  <c r="M18" i="9"/>
  <c r="B10" i="9"/>
  <c r="M9" i="9"/>
  <c r="M10" i="9"/>
  <c r="M11" i="9"/>
  <c r="M12" i="9"/>
  <c r="M13" i="9"/>
  <c r="M14" i="9"/>
  <c r="M15" i="9"/>
  <c r="M16" i="9"/>
  <c r="M17" i="9"/>
  <c r="M8" i="9"/>
  <c r="G32" i="9"/>
  <c r="H32" i="9" s="1"/>
  <c r="I32" i="9" s="1"/>
  <c r="J32" i="9" s="1"/>
  <c r="H31" i="9"/>
  <c r="I31" i="9" s="1"/>
  <c r="J31" i="9" s="1"/>
  <c r="G31" i="9"/>
  <c r="G30" i="9"/>
  <c r="H30" i="9" s="1"/>
  <c r="I30" i="9" s="1"/>
  <c r="J30" i="9" s="1"/>
  <c r="G29" i="9"/>
  <c r="H29" i="9" s="1"/>
  <c r="I29" i="9" s="1"/>
  <c r="J29" i="9" s="1"/>
  <c r="G28" i="9"/>
  <c r="H28" i="9" s="1"/>
  <c r="I28" i="9" s="1"/>
  <c r="J28" i="9" s="1"/>
  <c r="K28" i="9" s="1"/>
  <c r="G27" i="9"/>
  <c r="H27" i="9" s="1"/>
  <c r="I27" i="9" s="1"/>
  <c r="J27" i="9" s="1"/>
  <c r="G26" i="9"/>
  <c r="H26" i="9" s="1"/>
  <c r="I26" i="9" s="1"/>
  <c r="J26" i="9" s="1"/>
  <c r="B26" i="9"/>
  <c r="G25" i="9"/>
  <c r="H25" i="9" s="1"/>
  <c r="I25" i="9" s="1"/>
  <c r="J25" i="9" s="1"/>
  <c r="B25" i="9"/>
  <c r="G24" i="9"/>
  <c r="H24" i="9" s="1"/>
  <c r="I24" i="9" s="1"/>
  <c r="J24" i="9" s="1"/>
  <c r="G23" i="9"/>
  <c r="H23" i="9" s="1"/>
  <c r="I23" i="9" s="1"/>
  <c r="J23" i="9" s="1"/>
  <c r="B22" i="9"/>
  <c r="G17" i="9"/>
  <c r="H17" i="9"/>
  <c r="G16" i="9"/>
  <c r="H16" i="9" s="1"/>
  <c r="G15" i="9"/>
  <c r="H15" i="9" s="1"/>
  <c r="G14" i="9"/>
  <c r="H14" i="9" s="1"/>
  <c r="G13" i="9"/>
  <c r="H13" i="9" s="1"/>
  <c r="D56" i="9"/>
  <c r="G44" i="9"/>
  <c r="H44" i="9" s="1"/>
  <c r="G43" i="9"/>
  <c r="H43" i="9" s="1"/>
  <c r="G42" i="9"/>
  <c r="H42" i="9" s="1"/>
  <c r="B42" i="9"/>
  <c r="B43" i="9" s="1"/>
  <c r="G41" i="9"/>
  <c r="H41" i="9" s="1"/>
  <c r="G40" i="9"/>
  <c r="H40" i="9" s="1"/>
  <c r="H10" i="9"/>
  <c r="H12" i="9"/>
  <c r="G9" i="9"/>
  <c r="H9" i="9" s="1"/>
  <c r="G10" i="9"/>
  <c r="G11" i="9"/>
  <c r="H11" i="9" s="1"/>
  <c r="G12" i="9"/>
  <c r="G8" i="9"/>
  <c r="H8" i="9" s="1"/>
  <c r="B3" i="9"/>
  <c r="B7" i="9"/>
  <c r="B58" i="9"/>
  <c r="D52" i="9"/>
  <c r="C52" i="9"/>
  <c r="D51" i="9"/>
  <c r="C51" i="9"/>
  <c r="D50" i="9"/>
  <c r="L32" i="7"/>
  <c r="L33" i="7"/>
  <c r="L34" i="7"/>
  <c r="L35" i="7"/>
  <c r="L31" i="7"/>
  <c r="L24" i="7"/>
  <c r="L25" i="7"/>
  <c r="L26" i="7"/>
  <c r="L27" i="7"/>
  <c r="L23" i="7"/>
  <c r="L16" i="7"/>
  <c r="L17" i="7"/>
  <c r="L18" i="7"/>
  <c r="L19" i="7"/>
  <c r="L15" i="7"/>
  <c r="L8" i="7"/>
  <c r="L9" i="7"/>
  <c r="L10" i="7"/>
  <c r="L11" i="7"/>
  <c r="L7" i="7"/>
  <c r="B48" i="7"/>
  <c r="D42" i="7"/>
  <c r="C42" i="7"/>
  <c r="D41" i="7"/>
  <c r="C41" i="7"/>
  <c r="D40" i="7"/>
  <c r="C40" i="7"/>
  <c r="N35" i="7"/>
  <c r="J35" i="7"/>
  <c r="N34" i="7"/>
  <c r="J34" i="7"/>
  <c r="N33" i="7"/>
  <c r="J33" i="7"/>
  <c r="B33" i="7"/>
  <c r="B34" i="7" s="1"/>
  <c r="N32" i="7"/>
  <c r="J32" i="7"/>
  <c r="B32" i="7"/>
  <c r="N31" i="7"/>
  <c r="J31" i="7"/>
  <c r="N27" i="7"/>
  <c r="J27" i="7"/>
  <c r="K27" i="7" s="1"/>
  <c r="M27" i="7" s="1"/>
  <c r="N26" i="7"/>
  <c r="J26" i="7"/>
  <c r="N25" i="7"/>
  <c r="J25" i="7"/>
  <c r="K25" i="7" s="1"/>
  <c r="N24" i="7"/>
  <c r="J24" i="7"/>
  <c r="B24" i="7"/>
  <c r="B25" i="7" s="1"/>
  <c r="B26" i="7" s="1"/>
  <c r="N23" i="7"/>
  <c r="J23" i="7"/>
  <c r="N19" i="7"/>
  <c r="J19" i="7"/>
  <c r="N18" i="7"/>
  <c r="J18" i="7"/>
  <c r="N17" i="7"/>
  <c r="J17" i="7"/>
  <c r="B17" i="7"/>
  <c r="B18" i="7" s="1"/>
  <c r="N16" i="7"/>
  <c r="J16" i="7"/>
  <c r="B16" i="7"/>
  <c r="N15" i="7"/>
  <c r="J15" i="7"/>
  <c r="N11" i="7"/>
  <c r="J11" i="7"/>
  <c r="N10" i="7"/>
  <c r="J10" i="7"/>
  <c r="N9" i="7"/>
  <c r="J9" i="7"/>
  <c r="N8" i="7"/>
  <c r="J8" i="7"/>
  <c r="B8" i="7"/>
  <c r="B9" i="7" s="1"/>
  <c r="B10" i="7" s="1"/>
  <c r="N7" i="7"/>
  <c r="J7" i="7"/>
  <c r="B48" i="6"/>
  <c r="D42" i="6"/>
  <c r="C42" i="6"/>
  <c r="D41" i="6"/>
  <c r="C41" i="6"/>
  <c r="D40" i="6"/>
  <c r="C40" i="6"/>
  <c r="N35" i="6"/>
  <c r="J35" i="6"/>
  <c r="N34" i="6"/>
  <c r="J34" i="6"/>
  <c r="B34" i="6"/>
  <c r="K35" i="6" s="1"/>
  <c r="L35" i="6" s="1"/>
  <c r="M35" i="6" s="1"/>
  <c r="N33" i="6"/>
  <c r="J33" i="6"/>
  <c r="B33" i="6"/>
  <c r="N32" i="6"/>
  <c r="J32" i="6"/>
  <c r="B32" i="6"/>
  <c r="N31" i="6"/>
  <c r="J31" i="6"/>
  <c r="N27" i="6"/>
  <c r="J27" i="6"/>
  <c r="K27" i="6" s="1"/>
  <c r="L27" i="6" s="1"/>
  <c r="M27" i="6" s="1"/>
  <c r="N26" i="6"/>
  <c r="J26" i="6"/>
  <c r="N25" i="6"/>
  <c r="J25" i="6"/>
  <c r="N24" i="6"/>
  <c r="J24" i="6"/>
  <c r="B24" i="6"/>
  <c r="B25" i="6" s="1"/>
  <c r="B26" i="6" s="1"/>
  <c r="N23" i="6"/>
  <c r="J23" i="6"/>
  <c r="K23" i="6" s="1"/>
  <c r="L23" i="6" s="1"/>
  <c r="M23" i="6" s="1"/>
  <c r="N19" i="6"/>
  <c r="J19" i="6"/>
  <c r="N18" i="6"/>
  <c r="J18" i="6"/>
  <c r="N17" i="6"/>
  <c r="J17" i="6"/>
  <c r="B17" i="6"/>
  <c r="B18" i="6" s="1"/>
  <c r="K19" i="6" s="1"/>
  <c r="L19" i="6" s="1"/>
  <c r="M19" i="6" s="1"/>
  <c r="N16" i="6"/>
  <c r="J16" i="6"/>
  <c r="B16" i="6"/>
  <c r="N15" i="6"/>
  <c r="J15" i="6"/>
  <c r="N11" i="6"/>
  <c r="J11" i="6"/>
  <c r="K11" i="6" s="1"/>
  <c r="L11" i="6" s="1"/>
  <c r="M11" i="6" s="1"/>
  <c r="N10" i="6"/>
  <c r="J10" i="6"/>
  <c r="N9" i="6"/>
  <c r="J9" i="6"/>
  <c r="N8" i="6"/>
  <c r="J8" i="6"/>
  <c r="B8" i="6"/>
  <c r="B9" i="6" s="1"/>
  <c r="B10" i="6" s="1"/>
  <c r="N7" i="6"/>
  <c r="J7" i="6"/>
  <c r="K7" i="6" s="1"/>
  <c r="L7" i="6" s="1"/>
  <c r="M7" i="6" s="1"/>
  <c r="M31" i="9" l="1"/>
  <c r="K31" i="9"/>
  <c r="M23" i="9"/>
  <c r="K23" i="9"/>
  <c r="M27" i="9"/>
  <c r="K27" i="9"/>
  <c r="K24" i="9"/>
  <c r="M24" i="9"/>
  <c r="M29" i="9"/>
  <c r="K29" i="9"/>
  <c r="M25" i="9"/>
  <c r="K25" i="9"/>
  <c r="M30" i="9"/>
  <c r="K30" i="9"/>
  <c r="M26" i="9"/>
  <c r="K26" i="9"/>
  <c r="M32" i="9"/>
  <c r="K32" i="9"/>
  <c r="I13" i="9"/>
  <c r="J13" i="9" s="1"/>
  <c r="K13" i="9" s="1"/>
  <c r="I41" i="9"/>
  <c r="J41" i="9" s="1"/>
  <c r="M41" i="9" s="1"/>
  <c r="I42" i="9"/>
  <c r="J42" i="9" s="1"/>
  <c r="M42" i="9" s="1"/>
  <c r="I44" i="9"/>
  <c r="J44" i="9" s="1"/>
  <c r="M44" i="9" s="1"/>
  <c r="I15" i="9"/>
  <c r="J15" i="9" s="1"/>
  <c r="K15" i="9" s="1"/>
  <c r="I17" i="9"/>
  <c r="J17" i="9" s="1"/>
  <c r="K17" i="9" s="1"/>
  <c r="I16" i="9"/>
  <c r="J16" i="9" s="1"/>
  <c r="K16" i="9" s="1"/>
  <c r="B11" i="9"/>
  <c r="I43" i="9" s="1"/>
  <c r="J43" i="9" s="1"/>
  <c r="M25" i="7"/>
  <c r="K32" i="7"/>
  <c r="M32" i="7" s="1"/>
  <c r="K33" i="7"/>
  <c r="M33" i="7" s="1"/>
  <c r="K31" i="7"/>
  <c r="M31" i="7" s="1"/>
  <c r="K9" i="7"/>
  <c r="M9" i="7" s="1"/>
  <c r="K16" i="7"/>
  <c r="M16" i="7" s="1"/>
  <c r="K23" i="7"/>
  <c r="M23" i="7" s="1"/>
  <c r="K35" i="7"/>
  <c r="M35" i="7" s="1"/>
  <c r="K34" i="7"/>
  <c r="M34" i="7" s="1"/>
  <c r="K7" i="7"/>
  <c r="M7" i="7" s="1"/>
  <c r="K19" i="7"/>
  <c r="M19" i="7" s="1"/>
  <c r="K18" i="7"/>
  <c r="M18" i="7" s="1"/>
  <c r="K11" i="7"/>
  <c r="M11" i="7" s="1"/>
  <c r="K17" i="7"/>
  <c r="M17" i="7" s="1"/>
  <c r="K26" i="7"/>
  <c r="M26" i="7" s="1"/>
  <c r="K24" i="7"/>
  <c r="M24" i="7" s="1"/>
  <c r="K10" i="7"/>
  <c r="M10" i="7" s="1"/>
  <c r="K8" i="7"/>
  <c r="M8" i="7" s="1"/>
  <c r="K15" i="7"/>
  <c r="M15" i="7" s="1"/>
  <c r="K15" i="6"/>
  <c r="L15" i="6" s="1"/>
  <c r="M15" i="6" s="1"/>
  <c r="K17" i="6"/>
  <c r="L17" i="6" s="1"/>
  <c r="M17" i="6" s="1"/>
  <c r="K33" i="6"/>
  <c r="L33" i="6" s="1"/>
  <c r="M33" i="6" s="1"/>
  <c r="K26" i="6"/>
  <c r="L26" i="6" s="1"/>
  <c r="M26" i="6" s="1"/>
  <c r="K18" i="6"/>
  <c r="L18" i="6" s="1"/>
  <c r="M18" i="6" s="1"/>
  <c r="K31" i="6"/>
  <c r="L31" i="6" s="1"/>
  <c r="M31" i="6" s="1"/>
  <c r="K34" i="6"/>
  <c r="L34" i="6" s="1"/>
  <c r="M34" i="6" s="1"/>
  <c r="K16" i="6"/>
  <c r="L16" i="6" s="1"/>
  <c r="M16" i="6" s="1"/>
  <c r="K10" i="6"/>
  <c r="L10" i="6" s="1"/>
  <c r="M10" i="6" s="1"/>
  <c r="K32" i="6"/>
  <c r="L32" i="6" s="1"/>
  <c r="M32" i="6" s="1"/>
  <c r="K8" i="6"/>
  <c r="L8" i="6" s="1"/>
  <c r="M8" i="6" s="1"/>
  <c r="K24" i="6"/>
  <c r="L24" i="6" s="1"/>
  <c r="M24" i="6" s="1"/>
  <c r="K9" i="6"/>
  <c r="L9" i="6" s="1"/>
  <c r="M9" i="6" s="1"/>
  <c r="K25" i="6"/>
  <c r="L25" i="6" s="1"/>
  <c r="M25" i="6" s="1"/>
  <c r="M28" i="9" l="1"/>
  <c r="K41" i="9"/>
  <c r="M43" i="9"/>
  <c r="K43" i="9"/>
  <c r="K44" i="9"/>
  <c r="K42" i="9"/>
  <c r="I14" i="9"/>
  <c r="J14" i="9" s="1"/>
  <c r="K14" i="9" s="1"/>
  <c r="I40" i="9"/>
  <c r="J40" i="9" s="1"/>
  <c r="I10" i="9"/>
  <c r="I11" i="9"/>
  <c r="I12" i="9"/>
  <c r="I8" i="9"/>
  <c r="I9" i="9"/>
  <c r="M40" i="9" l="1"/>
  <c r="K40" i="9"/>
  <c r="J12" i="9"/>
  <c r="J11" i="9"/>
  <c r="J10" i="9"/>
  <c r="J9" i="9"/>
  <c r="J8" i="9"/>
  <c r="K9" i="9" l="1"/>
  <c r="K10" i="9"/>
  <c r="K12" i="9"/>
  <c r="K11" i="9"/>
  <c r="B50" i="9"/>
  <c r="C50" i="9" s="1"/>
  <c r="K8" i="9"/>
</calcChain>
</file>

<file path=xl/sharedStrings.xml><?xml version="1.0" encoding="utf-8"?>
<sst xmlns="http://schemas.openxmlformats.org/spreadsheetml/2006/main" count="236" uniqueCount="43">
  <si>
    <t>K</t>
  </si>
  <si>
    <t>conversion</t>
  </si>
  <si>
    <t>r</t>
  </si>
  <si>
    <t>tabella 1</t>
  </si>
  <si>
    <t xml:space="preserve">T </t>
  </si>
  <si>
    <t>Test</t>
  </si>
  <si>
    <t>CAin</t>
  </si>
  <si>
    <t>CBin</t>
  </si>
  <si>
    <t>CAout</t>
  </si>
  <si>
    <t>CBout</t>
  </si>
  <si>
    <t>°C</t>
  </si>
  <si>
    <t>tabella 2</t>
  </si>
  <si>
    <t>tabella 3</t>
  </si>
  <si>
    <t>tabella 4</t>
  </si>
  <si>
    <t>Q_298K</t>
  </si>
  <si>
    <t>Nm3/s</t>
  </si>
  <si>
    <t>reactor_volume</t>
  </si>
  <si>
    <t>m3</t>
  </si>
  <si>
    <t>Q_eff</t>
  </si>
  <si>
    <t>tau</t>
  </si>
  <si>
    <t>m3/s</t>
  </si>
  <si>
    <t>s</t>
  </si>
  <si>
    <t>dCA</t>
  </si>
  <si>
    <t>dCA/tau</t>
  </si>
  <si>
    <t>r/CA</t>
  </si>
  <si>
    <t>kr</t>
  </si>
  <si>
    <t>lnK</t>
  </si>
  <si>
    <t>-1/T</t>
  </si>
  <si>
    <t>Ea/R</t>
  </si>
  <si>
    <t>lnK0</t>
  </si>
  <si>
    <t>k0</t>
  </si>
  <si>
    <t>T [K]</t>
  </si>
  <si>
    <t>espi</t>
  </si>
  <si>
    <t>1st condition</t>
  </si>
  <si>
    <t>Q_298</t>
  </si>
  <si>
    <t>diameter</t>
  </si>
  <si>
    <t>length</t>
  </si>
  <si>
    <t>3rd condition</t>
  </si>
  <si>
    <t>T</t>
  </si>
  <si>
    <t>catalyst density</t>
  </si>
  <si>
    <t>kg/m3</t>
  </si>
  <si>
    <t>r/CA2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</si>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</sst>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1" applyFont="1"/>
    <xf numFmtId="11" fontId="0" fillId="0" borderId="0" xfId="0" applyNumberFormat="1"/>
    <xf numFmtId="0" fontId="0" fillId="0" borderId="0" xfId="0" quotePrefix="1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'ex1'!$F$7:$F$11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</c:numCache>
            </c:numRef>
          </c:xVal>
          <c:yVal>
            <c:numRef>
              <c:f>'ex1'!$M$7:$M$11</c:f>
              <c:numCache>
                <c:formatCode>0.00</c:formatCode>
                <c:ptCount val="5"/>
                <c:pt idx="0">
                  <c:v>0.97085458612975462</c:v>
                </c:pt>
                <c:pt idx="1">
                  <c:v>0.9929194630872491</c:v>
                </c:pt>
                <c:pt idx="2">
                  <c:v>0.95320268456375901</c:v>
                </c:pt>
                <c:pt idx="3">
                  <c:v>0.97085458612975462</c:v>
                </c:pt>
                <c:pt idx="4">
                  <c:v>0.96455033557046843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1-4944-A77D-7E31EBE89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38991"/>
        <c:axId val="1870927119"/>
      </c:scatterChart>
      <c:valAx>
        <c:axId val="127033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CA_in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27119"/>
        <c:crosses val="autoZero"/>
        <c:crossBetween val="midCat"/>
      </c:valAx>
      <c:valAx>
        <c:axId val="1870927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r/CAin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85378500077354"/>
                  <c:y val="5.05550450329805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'ex1'!$D$40:$D$43</c:f>
              <c:numCache>
                <c:formatCode>General</c:formatCode>
                <c:ptCount val="4"/>
                <c:pt idx="0">
                  <c:v>-2.0277805941397143E-3</c:v>
                </c:pt>
                <c:pt idx="1">
                  <c:v>-1.948747929455325E-3</c:v>
                </c:pt>
                <c:pt idx="2">
                  <c:v>-1.8756447528838038E-3</c:v>
                </c:pt>
              </c:numCache>
            </c:numRef>
          </c:xVal>
          <c:yVal>
            <c:numRef>
              <c:f>'ex1'!$C$40:$C$43</c:f>
              <c:numCache>
                <c:formatCode>0.00</c:formatCode>
                <c:ptCount val="4"/>
                <c:pt idx="0">
                  <c:v>-1.2173800931708762E-2</c:v>
                </c:pt>
                <c:pt idx="1">
                  <c:v>0.56315238394375811</c:v>
                </c:pt>
                <c:pt idx="2">
                  <c:v>1.1153055116097701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69-4DF8-88A9-31E2CF94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88559"/>
        <c:axId val="15777519"/>
      </c:scatterChart>
      <c:valAx>
        <c:axId val="225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519"/>
        <c:crosses val="autoZero"/>
        <c:crossBetween val="midCat"/>
      </c:valAx>
      <c:valAx>
        <c:axId val="157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 (2)'!$F$8:$F$12</c:f>
              <c:numCache>
                <c:formatCode>General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</c:numCache>
            </c:numRef>
          </c:xVal>
          <c:yVal>
            <c:numRef>
              <c:f>'ex2 (2)'!$M$8:$M$12</c:f>
              <c:numCache>
                <c:formatCode>General</c:formatCode>
                <c:ptCount val="5"/>
                <c:pt idx="0">
                  <c:v>1.2840454199239584</c:v>
                </c:pt>
                <c:pt idx="1">
                  <c:v>1.2659602731644684</c:v>
                </c:pt>
                <c:pt idx="2">
                  <c:v>1.247875126404975</c:v>
                </c:pt>
                <c:pt idx="3">
                  <c:v>1.2478751264049728</c:v>
                </c:pt>
                <c:pt idx="4">
                  <c:v>1.229789979645483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07-46FD-8C39-3109562D7A90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'ex2 (2)'!$F$24:$F$28</c:f>
              <c:numCache>
                <c:formatCode>General</c:formatCode>
                <c:ptCount val="5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</c:numCache>
            </c:numRef>
          </c:xVal>
          <c:yVal>
            <c:numRef>
              <c:f>'ex2 (2)'!$M$24:$M$28</c:f>
              <c:numCache>
                <c:formatCode>General</c:formatCode>
                <c:ptCount val="5"/>
                <c:pt idx="0">
                  <c:v>0.73847682601260534</c:v>
                </c:pt>
                <c:pt idx="1">
                  <c:v>0.63298013658223362</c:v>
                </c:pt>
                <c:pt idx="2">
                  <c:v>0.55046665449204935</c:v>
                </c:pt>
                <c:pt idx="3">
                  <c:v>0.48628950175524016</c:v>
                </c:pt>
                <c:pt idx="4">
                  <c:v>0.66249409136334969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107-46FD-8C39-3109562D7A90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'ex2 (2)'!$F$40:$F$44</c:f>
              <c:numCache>
                <c:formatCode>General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</c:numCache>
            </c:numRef>
          </c:xVal>
          <c:yVal>
            <c:numRef>
              <c:f>'ex2 (2)'!$M$40:$M$44</c:f>
              <c:numCache>
                <c:formatCode>0.00</c:formatCode>
                <c:ptCount val="5"/>
                <c:pt idx="0">
                  <c:v>0.90425733797462016</c:v>
                </c:pt>
                <c:pt idx="1">
                  <c:v>0.90425733797462027</c:v>
                </c:pt>
                <c:pt idx="2">
                  <c:v>0.89133937600355362</c:v>
                </c:pt>
                <c:pt idx="3">
                  <c:v>0.88165090452525385</c:v>
                </c:pt>
                <c:pt idx="4">
                  <c:v>0.87411542670879772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107-46FD-8C39-3109562D7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38991"/>
        <c:axId val="1870927119"/>
      </c:scatterChart>
      <c:valAx>
        <c:axId val="127033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CA_in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27119"/>
        <c:crosses val="autoZero"/>
        <c:crossBetween val="midCat"/>
      </c:valAx>
      <c:valAx>
        <c:axId val="1870927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r/CAin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'ex2 (2)'!$D$50:$D$52</c:f>
              <c:numCache>
                <c:formatCode>General</c:formatCode>
                <c:ptCount val="3"/>
                <c:pt idx="0">
                  <c:v>-2.2222222222222222E-3</c:v>
                </c:pt>
                <c:pt idx="1">
                  <c:v>-2.0833333333333333E-3</c:v>
                </c:pt>
                <c:pt idx="2">
                  <c:v>-1.9607843137254902E-3</c:v>
                </c:pt>
              </c:numCache>
            </c:numRef>
          </c:xVal>
          <c:yVal>
            <c:numRef>
              <c:f>'ex2 (2)'!$C$50:$C$52</c:f>
              <c:numCache>
                <c:formatCode>0.00</c:formatCode>
                <c:ptCount val="3"/>
                <c:pt idx="0">
                  <c:v>0.19202832076433624</c:v>
                </c:pt>
                <c:pt idx="1">
                  <c:v>-0.52763274208237199</c:v>
                </c:pt>
                <c:pt idx="2">
                  <c:v>-0.22314355131420971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C5-44DE-A266-57A304216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88559"/>
        <c:axId val="15777519"/>
      </c:scatterChart>
      <c:valAx>
        <c:axId val="225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519"/>
        <c:crosses val="autoZero"/>
        <c:crossBetween val="midCat"/>
      </c:valAx>
      <c:valAx>
        <c:axId val="157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'ex2'!$F$7:$F$11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</c:numCache>
            </c:numRef>
          </c:xVal>
          <c:yVal>
            <c:numRef>
              <c:f>'ex2'!$M$7:$M$11</c:f>
              <c:numCache>
                <c:formatCode>0.00</c:formatCode>
                <c:ptCount val="5"/>
                <c:pt idx="0">
                  <c:v>2.0568953095969382</c:v>
                </c:pt>
                <c:pt idx="1">
                  <c:v>2.1036429302695958</c:v>
                </c:pt>
                <c:pt idx="2">
                  <c:v>2.0194972130588122</c:v>
                </c:pt>
                <c:pt idx="3">
                  <c:v>2.0568953095969382</c:v>
                </c:pt>
                <c:pt idx="4">
                  <c:v>2.043538846547603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0-43B5-9394-CBC3663F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38991"/>
        <c:axId val="1870927119"/>
      </c:scatterChart>
      <c:valAx>
        <c:axId val="127033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CA_in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27119"/>
        <c:crosses val="autoZero"/>
        <c:crossBetween val="midCat"/>
      </c:valAx>
      <c:valAx>
        <c:axId val="1870927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r/CAin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'ex2'!$D$40:$D$43</c:f>
              <c:numCache>
                <c:formatCode>General</c:formatCode>
                <c:ptCount val="4"/>
                <c:pt idx="0">
                  <c:v>-2.0277805941397143E-3</c:v>
                </c:pt>
                <c:pt idx="1">
                  <c:v>-1.948747929455325E-3</c:v>
                </c:pt>
                <c:pt idx="2">
                  <c:v>-1.8756447528838038E-3</c:v>
                </c:pt>
              </c:numCache>
            </c:numRef>
          </c:xVal>
          <c:yVal>
            <c:numRef>
              <c:f>'ex2'!$C$40:$C$43</c:f>
              <c:numCache>
                <c:formatCode>0.00</c:formatCode>
                <c:ptCount val="4"/>
                <c:pt idx="0">
                  <c:v>0.73859844346386272</c:v>
                </c:pt>
                <c:pt idx="1">
                  <c:v>1.3139386989277502</c:v>
                </c:pt>
                <c:pt idx="2">
                  <c:v>1.8660626604205384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84-4856-BC6D-6B645408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88559"/>
        <c:axId val="15777519"/>
      </c:scatterChart>
      <c:valAx>
        <c:axId val="225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519"/>
        <c:crosses val="autoZero"/>
        <c:crossBetween val="midCat"/>
      </c:valAx>
      <c:valAx>
        <c:axId val="157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101201</xdr:colOff>
      <xdr:row>2</xdr:row>
      <xdr:rowOff>75010</xdr:rowOff>
    </xdr:from>
    <xdr:to>
      <xdr:col>28</xdr:col>
      <xdr:colOff>506016</xdr:colOff>
      <xdr:row>28</xdr:row>
      <xdr:rowOff>89297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D7F2E-4F55-4BC4-8ACE-0F7FEE7F0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</xdr:colOff>
      <xdr:row>38</xdr:row>
      <xdr:rowOff>11905</xdr:rowOff>
    </xdr:from>
    <xdr:to>
      <xdr:col>15</xdr:col>
      <xdr:colOff>65485</xdr:colOff>
      <xdr:row>58</xdr:row>
      <xdr:rowOff>121443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64ED2-9606-440E-AF2E-58B8D25FA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101201</xdr:colOff>
      <xdr:row>2</xdr:row>
      <xdr:rowOff>75010</xdr:rowOff>
    </xdr:from>
    <xdr:to>
      <xdr:col>28</xdr:col>
      <xdr:colOff>506016</xdr:colOff>
      <xdr:row>28</xdr:row>
      <xdr:rowOff>89297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7902B-C3FC-4C37-B7B7-DC8FA3300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451620</xdr:colOff>
      <xdr:row>51</xdr:row>
      <xdr:rowOff>3167</xdr:rowOff>
    </xdr:from>
    <xdr:to>
      <xdr:col>14</xdr:col>
      <xdr:colOff>511151</xdr:colOff>
      <xdr:row>71</xdr:row>
      <xdr:rowOff>112705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6F9F1A-1A66-4E8C-AF91-E62AFFE3C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101201</xdr:colOff>
      <xdr:row>2</xdr:row>
      <xdr:rowOff>75010</xdr:rowOff>
    </xdr:from>
    <xdr:to>
      <xdr:col>28</xdr:col>
      <xdr:colOff>506016</xdr:colOff>
      <xdr:row>28</xdr:row>
      <xdr:rowOff>89297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0EFAE-910B-47D2-96D0-31E6440F4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</xdr:colOff>
      <xdr:row>38</xdr:row>
      <xdr:rowOff>11905</xdr:rowOff>
    </xdr:from>
    <xdr:to>
      <xdr:col>15</xdr:col>
      <xdr:colOff>65485</xdr:colOff>
      <xdr:row>58</xdr:row>
      <xdr:rowOff>121443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EEB15F-FAC2-40DF-BEAB-AF25CEF7C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F3FB-EE50-49C5-AA31-E704CF8CC948}">
  <dimension ref="A1:N78"/>
  <sheetViews>
    <sheetView zoomScaleNormal="100" workbookViewId="0">
      <selection activeCell="B40" sqref="B40"/>
    </sheetView>
  </sheetViews>
  <sheetFormatPr defaultRowHeight="15" x14ac:dyDescent="0.25"/>
  <cols>
    <col min="1" max="1" width="52" bestFit="1" customWidth="1"/>
    <col min="2" max="2" width="10.7109375" bestFit="1" customWidth="1"/>
    <col min="14" max="14" width="10.28515625" bestFit="1" customWidth="1"/>
  </cols>
  <sheetData>
    <row r="1" spans="1:14" x14ac:dyDescent="0.25">
      <c r="A1" s="1"/>
      <c r="B1" s="1"/>
      <c r="C1" s="1"/>
      <c r="D1" s="1"/>
      <c r="E1" s="1"/>
      <c r="F1" s="1"/>
    </row>
    <row r="2" spans="1:14" x14ac:dyDescent="0.25">
      <c r="A2" s="3" t="s">
        <v>14</v>
      </c>
      <c r="B2" s="4">
        <v>3.9999999999999998E-6</v>
      </c>
      <c r="C2" t="s">
        <v>15</v>
      </c>
      <c r="D2" s="1"/>
      <c r="E2" s="1"/>
      <c r="F2" s="1"/>
    </row>
    <row r="3" spans="1:14" x14ac:dyDescent="0.25">
      <c r="A3" s="3" t="s">
        <v>16</v>
      </c>
      <c r="B3" s="4">
        <v>1.9999999999999999E-7</v>
      </c>
      <c r="C3" t="s">
        <v>17</v>
      </c>
      <c r="D3" s="1"/>
      <c r="E3" s="1"/>
      <c r="F3" s="1"/>
    </row>
    <row r="4" spans="1:14" x14ac:dyDescent="0.25">
      <c r="A4" s="3"/>
      <c r="B4" s="4"/>
      <c r="D4" s="1"/>
      <c r="E4" s="1"/>
      <c r="F4" s="1"/>
    </row>
    <row r="6" spans="1:14" x14ac:dyDescent="0.25">
      <c r="A6" t="s">
        <v>3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22</v>
      </c>
      <c r="K6" s="1" t="s">
        <v>23</v>
      </c>
      <c r="L6" s="1" t="s">
        <v>2</v>
      </c>
      <c r="M6" s="1" t="s">
        <v>24</v>
      </c>
      <c r="N6" s="1" t="s">
        <v>1</v>
      </c>
    </row>
    <row r="7" spans="1:14" x14ac:dyDescent="0.25">
      <c r="A7" t="s">
        <v>4</v>
      </c>
      <c r="B7">
        <v>220</v>
      </c>
      <c r="C7" t="s">
        <v>10</v>
      </c>
      <c r="E7" s="2">
        <v>1</v>
      </c>
      <c r="F7" s="2">
        <v>0.75</v>
      </c>
      <c r="G7" s="2">
        <v>0</v>
      </c>
      <c r="H7" s="2">
        <v>0.72799999999999998</v>
      </c>
      <c r="I7" s="2">
        <v>2.1999999999999999E-2</v>
      </c>
      <c r="J7">
        <f>H7-F7</f>
        <v>-2.200000000000002E-2</v>
      </c>
      <c r="K7" s="4">
        <f>J7/$B$10</f>
        <v>-0.72814093959731596</v>
      </c>
      <c r="L7" s="6">
        <f>-K7</f>
        <v>0.72814093959731596</v>
      </c>
      <c r="M7" s="6">
        <f>L7/F7</f>
        <v>0.97085458612975462</v>
      </c>
      <c r="N7" s="7">
        <f>(F7-H7)/F7*100</f>
        <v>2.9333333333333362</v>
      </c>
    </row>
    <row r="8" spans="1:14" x14ac:dyDescent="0.25">
      <c r="B8">
        <f>B7+273.15</f>
        <v>493.15</v>
      </c>
      <c r="C8" t="s">
        <v>0</v>
      </c>
      <c r="E8" s="2">
        <v>2</v>
      </c>
      <c r="F8" s="2">
        <v>1</v>
      </c>
      <c r="G8" s="2">
        <v>0</v>
      </c>
      <c r="H8" s="2">
        <v>0.97</v>
      </c>
      <c r="I8" s="2">
        <v>2.9000000000000001E-2</v>
      </c>
      <c r="J8">
        <f t="shared" ref="J8:J11" si="0">H8-F8</f>
        <v>-3.0000000000000027E-2</v>
      </c>
      <c r="K8" s="4">
        <f t="shared" ref="K8:K11" si="1">J8/$B$10</f>
        <v>-0.9929194630872491</v>
      </c>
      <c r="L8" s="6">
        <f t="shared" ref="L8:L11" si="2">-K8</f>
        <v>0.9929194630872491</v>
      </c>
      <c r="M8" s="6">
        <f t="shared" ref="M8:M11" si="3">L8/F8</f>
        <v>0.9929194630872491</v>
      </c>
      <c r="N8" s="7">
        <f t="shared" ref="N8:N11" si="4">(F8-H8)/F8*100</f>
        <v>3.0000000000000027</v>
      </c>
    </row>
    <row r="9" spans="1:14" x14ac:dyDescent="0.25">
      <c r="A9" t="s">
        <v>18</v>
      </c>
      <c r="B9" s="4">
        <f>$B$2*B8/298</f>
        <v>6.6194630872483208E-6</v>
      </c>
      <c r="C9" t="s">
        <v>20</v>
      </c>
      <c r="E9" s="2">
        <v>3</v>
      </c>
      <c r="F9" s="2">
        <v>1.25</v>
      </c>
      <c r="G9" s="2">
        <v>0</v>
      </c>
      <c r="H9" s="2">
        <v>1.214</v>
      </c>
      <c r="I9" s="2">
        <v>3.5999999999999997E-2</v>
      </c>
      <c r="J9">
        <f t="shared" si="0"/>
        <v>-3.6000000000000032E-2</v>
      </c>
      <c r="K9" s="4">
        <f t="shared" si="1"/>
        <v>-1.1915033557046988</v>
      </c>
      <c r="L9" s="6">
        <f t="shared" si="2"/>
        <v>1.1915033557046988</v>
      </c>
      <c r="M9" s="6">
        <f t="shared" si="3"/>
        <v>0.95320268456375901</v>
      </c>
      <c r="N9" s="7">
        <f t="shared" si="4"/>
        <v>2.8800000000000026</v>
      </c>
    </row>
    <row r="10" spans="1:14" x14ac:dyDescent="0.25">
      <c r="A10" t="s">
        <v>19</v>
      </c>
      <c r="B10" s="4">
        <f>$B$3/B9</f>
        <v>3.0213930852681745E-2</v>
      </c>
      <c r="C10" t="s">
        <v>21</v>
      </c>
      <c r="E10" s="2">
        <v>4</v>
      </c>
      <c r="F10" s="2">
        <v>1.5</v>
      </c>
      <c r="G10" s="2">
        <v>0</v>
      </c>
      <c r="H10" s="2">
        <v>1.456</v>
      </c>
      <c r="I10" s="2">
        <v>4.3999999999999997E-2</v>
      </c>
      <c r="J10">
        <f t="shared" si="0"/>
        <v>-4.4000000000000039E-2</v>
      </c>
      <c r="K10" s="4">
        <f t="shared" si="1"/>
        <v>-1.4562818791946319</v>
      </c>
      <c r="L10" s="6">
        <f t="shared" si="2"/>
        <v>1.4562818791946319</v>
      </c>
      <c r="M10" s="6">
        <f t="shared" si="3"/>
        <v>0.97085458612975462</v>
      </c>
      <c r="N10" s="7">
        <f t="shared" si="4"/>
        <v>2.9333333333333362</v>
      </c>
    </row>
    <row r="11" spans="1:14" x14ac:dyDescent="0.25">
      <c r="E11" s="2">
        <v>5</v>
      </c>
      <c r="F11" s="2">
        <v>1.75</v>
      </c>
      <c r="G11" s="2">
        <v>0</v>
      </c>
      <c r="H11" s="2">
        <v>1.6990000000000001</v>
      </c>
      <c r="I11" s="2">
        <v>5.0999999999999997E-2</v>
      </c>
      <c r="J11">
        <f t="shared" si="0"/>
        <v>-5.0999999999999934E-2</v>
      </c>
      <c r="K11" s="4">
        <f t="shared" si="1"/>
        <v>-1.6879630872483198</v>
      </c>
      <c r="L11" s="6">
        <f t="shared" si="2"/>
        <v>1.6879630872483198</v>
      </c>
      <c r="M11" s="6">
        <f t="shared" si="3"/>
        <v>0.96455033557046843</v>
      </c>
      <c r="N11" s="7">
        <f t="shared" si="4"/>
        <v>2.9142857142857106</v>
      </c>
    </row>
    <row r="12" spans="1:14" x14ac:dyDescent="0.25">
      <c r="L12" s="6"/>
      <c r="M12" s="6"/>
      <c r="N12" s="4"/>
    </row>
    <row r="13" spans="1:14" x14ac:dyDescent="0.25">
      <c r="L13" s="6"/>
      <c r="M13" s="6"/>
    </row>
    <row r="14" spans="1:14" x14ac:dyDescent="0.25">
      <c r="A14" t="s">
        <v>11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J14" s="1" t="s">
        <v>22</v>
      </c>
      <c r="K14" s="1" t="s">
        <v>23</v>
      </c>
      <c r="L14" s="8" t="s">
        <v>2</v>
      </c>
      <c r="M14" s="8" t="s">
        <v>24</v>
      </c>
      <c r="N14" s="1" t="s">
        <v>1</v>
      </c>
    </row>
    <row r="15" spans="1:14" x14ac:dyDescent="0.25">
      <c r="A15" t="s">
        <v>4</v>
      </c>
      <c r="B15">
        <v>240</v>
      </c>
      <c r="C15" t="s">
        <v>10</v>
      </c>
      <c r="E15" s="2">
        <v>1</v>
      </c>
      <c r="F15" s="2">
        <v>0.75</v>
      </c>
      <c r="G15" s="2">
        <v>0</v>
      </c>
      <c r="H15" s="2">
        <v>0.71299999999999997</v>
      </c>
      <c r="I15" s="2">
        <v>3.7999999999999999E-2</v>
      </c>
      <c r="J15">
        <f>H15-F15</f>
        <v>-3.7000000000000033E-2</v>
      </c>
      <c r="K15" s="4">
        <f>J15/$B$18</f>
        <v>-1.2742651006711421</v>
      </c>
      <c r="L15" s="6">
        <f>-K15</f>
        <v>1.2742651006711421</v>
      </c>
      <c r="M15" s="6">
        <f>L15/F15</f>
        <v>1.6990201342281894</v>
      </c>
      <c r="N15" s="7">
        <f>(F15-H15)/F15*100</f>
        <v>4.9333333333333371</v>
      </c>
    </row>
    <row r="16" spans="1:14" x14ac:dyDescent="0.25">
      <c r="B16">
        <f>B15+273.15</f>
        <v>513.15</v>
      </c>
      <c r="C16" t="s">
        <v>0</v>
      </c>
      <c r="E16" s="2">
        <v>2</v>
      </c>
      <c r="F16" s="2">
        <v>1</v>
      </c>
      <c r="G16" s="2">
        <v>0</v>
      </c>
      <c r="H16" s="2">
        <v>0.95</v>
      </c>
      <c r="I16" s="2">
        <v>0.05</v>
      </c>
      <c r="J16">
        <f t="shared" ref="J16:J19" si="5">H16-F16</f>
        <v>-5.0000000000000044E-2</v>
      </c>
      <c r="K16" s="4">
        <f t="shared" ref="K16:K19" si="6">J16/$B$18</f>
        <v>-1.7219798657718137</v>
      </c>
      <c r="L16" s="6">
        <f t="shared" ref="L16:L19" si="7">-K16</f>
        <v>1.7219798657718137</v>
      </c>
      <c r="M16" s="6">
        <f t="shared" ref="M16:M19" si="8">L16/F16</f>
        <v>1.7219798657718137</v>
      </c>
      <c r="N16" s="7">
        <f t="shared" ref="N16:N19" si="9">(F16-H16)/F16*100</f>
        <v>5.0000000000000044</v>
      </c>
    </row>
    <row r="17" spans="1:14" x14ac:dyDescent="0.25">
      <c r="A17" t="s">
        <v>18</v>
      </c>
      <c r="B17" s="4">
        <f>$B$2*B16/298</f>
        <v>6.8879194630872483E-6</v>
      </c>
      <c r="C17" t="s">
        <v>20</v>
      </c>
      <c r="E17" s="2">
        <v>3</v>
      </c>
      <c r="F17" s="2">
        <v>1.25</v>
      </c>
      <c r="G17" s="2">
        <v>0</v>
      </c>
      <c r="H17" s="2">
        <v>1.1879999999999999</v>
      </c>
      <c r="I17" s="2">
        <v>6.2E-2</v>
      </c>
      <c r="J17">
        <f t="shared" si="5"/>
        <v>-6.2000000000000055E-2</v>
      </c>
      <c r="K17" s="4">
        <f t="shared" si="6"/>
        <v>-2.135255033557049</v>
      </c>
      <c r="L17" s="6">
        <f t="shared" si="7"/>
        <v>2.135255033557049</v>
      </c>
      <c r="M17" s="6">
        <f t="shared" si="8"/>
        <v>1.7082040268456393</v>
      </c>
      <c r="N17" s="7">
        <f t="shared" si="9"/>
        <v>4.9600000000000044</v>
      </c>
    </row>
    <row r="18" spans="1:14" x14ac:dyDescent="0.25">
      <c r="A18" t="s">
        <v>19</v>
      </c>
      <c r="B18" s="4">
        <f>$B$3/B17</f>
        <v>2.9036344148884341E-2</v>
      </c>
      <c r="C18" t="s">
        <v>21</v>
      </c>
      <c r="E18" s="2">
        <v>4</v>
      </c>
      <c r="F18" s="2">
        <v>1.5</v>
      </c>
      <c r="G18" s="2">
        <v>0</v>
      </c>
      <c r="H18" s="2">
        <v>1.425</v>
      </c>
      <c r="I18" s="2">
        <v>7.4999999999999997E-2</v>
      </c>
      <c r="J18">
        <f t="shared" si="5"/>
        <v>-7.4999999999999956E-2</v>
      </c>
      <c r="K18" s="4">
        <f t="shared" si="6"/>
        <v>-2.5829697986577167</v>
      </c>
      <c r="L18" s="6">
        <f t="shared" si="7"/>
        <v>2.5829697986577167</v>
      </c>
      <c r="M18" s="6">
        <f t="shared" si="8"/>
        <v>1.7219798657718111</v>
      </c>
      <c r="N18" s="7">
        <f t="shared" si="9"/>
        <v>4.9999999999999964</v>
      </c>
    </row>
    <row r="19" spans="1:14" x14ac:dyDescent="0.25">
      <c r="E19" s="2">
        <v>5</v>
      </c>
      <c r="F19" s="2">
        <v>1.75</v>
      </c>
      <c r="G19" s="2">
        <v>0</v>
      </c>
      <c r="H19" s="2">
        <v>1.663</v>
      </c>
      <c r="I19" s="2">
        <v>8.6999999999999994E-2</v>
      </c>
      <c r="J19">
        <f t="shared" si="5"/>
        <v>-8.6999999999999966E-2</v>
      </c>
      <c r="K19" s="4">
        <f t="shared" si="6"/>
        <v>-2.9962449664429518</v>
      </c>
      <c r="L19" s="6">
        <f t="shared" si="7"/>
        <v>2.9962449664429518</v>
      </c>
      <c r="M19" s="6">
        <f t="shared" si="8"/>
        <v>1.7121399808245439</v>
      </c>
      <c r="N19" s="7">
        <f t="shared" si="9"/>
        <v>4.9714285714285698</v>
      </c>
    </row>
    <row r="20" spans="1:14" x14ac:dyDescent="0.25">
      <c r="L20" s="6"/>
      <c r="M20" s="6"/>
      <c r="N20" s="4"/>
    </row>
    <row r="21" spans="1:14" x14ac:dyDescent="0.25">
      <c r="L21" s="6"/>
      <c r="M21" s="6"/>
    </row>
    <row r="22" spans="1:14" x14ac:dyDescent="0.25">
      <c r="A22" t="s">
        <v>12</v>
      </c>
      <c r="E22" s="1" t="s">
        <v>5</v>
      </c>
      <c r="F22" s="1" t="s">
        <v>6</v>
      </c>
      <c r="G22" s="1" t="s">
        <v>7</v>
      </c>
      <c r="H22" s="1" t="s">
        <v>8</v>
      </c>
      <c r="I22" s="1" t="s">
        <v>9</v>
      </c>
      <c r="J22" s="1" t="s">
        <v>22</v>
      </c>
      <c r="K22" s="1" t="s">
        <v>23</v>
      </c>
      <c r="L22" s="8" t="s">
        <v>2</v>
      </c>
      <c r="M22" s="8" t="s">
        <v>24</v>
      </c>
      <c r="N22" s="1" t="s">
        <v>1</v>
      </c>
    </row>
    <row r="23" spans="1:14" x14ac:dyDescent="0.25">
      <c r="A23" t="s">
        <v>4</v>
      </c>
      <c r="B23">
        <v>240</v>
      </c>
      <c r="C23" t="s">
        <v>10</v>
      </c>
      <c r="E23" s="2">
        <v>1</v>
      </c>
      <c r="F23" s="2">
        <v>1</v>
      </c>
      <c r="G23" s="2">
        <v>0.25</v>
      </c>
      <c r="H23" s="2">
        <v>0.95</v>
      </c>
      <c r="I23" s="2">
        <v>0.3</v>
      </c>
      <c r="J23">
        <f>H23-F23</f>
        <v>-5.0000000000000044E-2</v>
      </c>
      <c r="K23" s="4">
        <f>J23/$B$26</f>
        <v>-1.7219798657718137</v>
      </c>
      <c r="L23" s="6">
        <f>-K23</f>
        <v>1.7219798657718137</v>
      </c>
      <c r="M23" s="6">
        <f>L23/F23</f>
        <v>1.7219798657718137</v>
      </c>
      <c r="N23">
        <f>(F23-H23)/F23*100</f>
        <v>5.0000000000000044</v>
      </c>
    </row>
    <row r="24" spans="1:14" x14ac:dyDescent="0.25">
      <c r="B24">
        <f>B23+273.15</f>
        <v>513.15</v>
      </c>
      <c r="C24" t="s">
        <v>0</v>
      </c>
      <c r="E24" s="2">
        <v>2</v>
      </c>
      <c r="F24" s="2">
        <v>1</v>
      </c>
      <c r="G24" s="2">
        <v>0.5</v>
      </c>
      <c r="H24" s="2">
        <v>0.95</v>
      </c>
      <c r="I24" s="2">
        <v>0.55000000000000004</v>
      </c>
      <c r="J24">
        <f t="shared" ref="J24:J27" si="10">H24-F24</f>
        <v>-5.0000000000000044E-2</v>
      </c>
      <c r="K24" s="4">
        <f t="shared" ref="K24:K27" si="11">J24/$B$26</f>
        <v>-1.7219798657718137</v>
      </c>
      <c r="L24" s="6">
        <f t="shared" ref="L24:L27" si="12">-K24</f>
        <v>1.7219798657718137</v>
      </c>
      <c r="M24" s="6">
        <f t="shared" ref="M24:M27" si="13">L24/F24</f>
        <v>1.7219798657718137</v>
      </c>
      <c r="N24">
        <f t="shared" ref="N24:N27" si="14">(F24-H24)/F24*100</f>
        <v>5.0000000000000044</v>
      </c>
    </row>
    <row r="25" spans="1:14" x14ac:dyDescent="0.25">
      <c r="A25" t="s">
        <v>18</v>
      </c>
      <c r="B25" s="4">
        <f>$B$2*B24/298</f>
        <v>6.8879194630872483E-6</v>
      </c>
      <c r="C25" t="s">
        <v>20</v>
      </c>
      <c r="E25" s="2">
        <v>3</v>
      </c>
      <c r="F25" s="2">
        <v>1</v>
      </c>
      <c r="G25" s="2">
        <v>0.75</v>
      </c>
      <c r="H25" s="2">
        <v>0.95</v>
      </c>
      <c r="I25" s="2">
        <v>0.8</v>
      </c>
      <c r="J25">
        <f t="shared" si="10"/>
        <v>-5.0000000000000044E-2</v>
      </c>
      <c r="K25" s="4">
        <f t="shared" si="11"/>
        <v>-1.7219798657718137</v>
      </c>
      <c r="L25" s="6">
        <f t="shared" si="12"/>
        <v>1.7219798657718137</v>
      </c>
      <c r="M25" s="6">
        <f t="shared" si="13"/>
        <v>1.7219798657718137</v>
      </c>
      <c r="N25">
        <f t="shared" si="14"/>
        <v>5.0000000000000044</v>
      </c>
    </row>
    <row r="26" spans="1:14" x14ac:dyDescent="0.25">
      <c r="A26" t="s">
        <v>19</v>
      </c>
      <c r="B26" s="4">
        <f>$B$3/B25</f>
        <v>2.9036344148884341E-2</v>
      </c>
      <c r="C26" t="s">
        <v>21</v>
      </c>
      <c r="E26" s="2">
        <v>4</v>
      </c>
      <c r="F26" s="2">
        <v>1</v>
      </c>
      <c r="G26" s="2">
        <v>1</v>
      </c>
      <c r="H26" s="2">
        <v>0.95</v>
      </c>
      <c r="I26" s="2">
        <v>1.05</v>
      </c>
      <c r="J26">
        <f t="shared" si="10"/>
        <v>-5.0000000000000044E-2</v>
      </c>
      <c r="K26" s="4">
        <f t="shared" si="11"/>
        <v>-1.7219798657718137</v>
      </c>
      <c r="L26" s="6">
        <f t="shared" si="12"/>
        <v>1.7219798657718137</v>
      </c>
      <c r="M26" s="6">
        <f t="shared" si="13"/>
        <v>1.7219798657718137</v>
      </c>
      <c r="N26">
        <f t="shared" si="14"/>
        <v>5.0000000000000044</v>
      </c>
    </row>
    <row r="27" spans="1:14" x14ac:dyDescent="0.25">
      <c r="E27" s="2">
        <v>5</v>
      </c>
      <c r="F27" s="2">
        <v>1</v>
      </c>
      <c r="G27" s="2">
        <v>1.25</v>
      </c>
      <c r="H27" s="2">
        <v>0.95</v>
      </c>
      <c r="I27" s="2">
        <v>1.3</v>
      </c>
      <c r="J27">
        <f t="shared" si="10"/>
        <v>-5.0000000000000044E-2</v>
      </c>
      <c r="K27" s="4">
        <f t="shared" si="11"/>
        <v>-1.7219798657718137</v>
      </c>
      <c r="L27" s="6">
        <f t="shared" si="12"/>
        <v>1.7219798657718137</v>
      </c>
      <c r="M27" s="6">
        <f t="shared" si="13"/>
        <v>1.7219798657718137</v>
      </c>
      <c r="N27">
        <f t="shared" si="14"/>
        <v>5.0000000000000044</v>
      </c>
    </row>
    <row r="28" spans="1:14" x14ac:dyDescent="0.25">
      <c r="L28" s="6"/>
      <c r="M28" s="6"/>
      <c r="N28" s="4"/>
    </row>
    <row r="29" spans="1:14" x14ac:dyDescent="0.25">
      <c r="L29" s="6"/>
      <c r="M29" s="6"/>
    </row>
    <row r="30" spans="1:14" x14ac:dyDescent="0.25">
      <c r="A30" t="s">
        <v>13</v>
      </c>
      <c r="E30" s="1" t="s">
        <v>5</v>
      </c>
      <c r="F30" s="1" t="s">
        <v>6</v>
      </c>
      <c r="G30" s="1" t="s">
        <v>7</v>
      </c>
      <c r="H30" s="1" t="s">
        <v>8</v>
      </c>
      <c r="I30" s="1" t="s">
        <v>9</v>
      </c>
      <c r="J30" s="1" t="s">
        <v>22</v>
      </c>
      <c r="K30" s="1" t="s">
        <v>23</v>
      </c>
      <c r="L30" s="8" t="s">
        <v>2</v>
      </c>
      <c r="M30" s="8" t="s">
        <v>24</v>
      </c>
      <c r="N30" s="1" t="s">
        <v>1</v>
      </c>
    </row>
    <row r="31" spans="1:14" x14ac:dyDescent="0.25">
      <c r="A31" t="s">
        <v>4</v>
      </c>
      <c r="B31">
        <v>260</v>
      </c>
      <c r="C31" t="s">
        <v>10</v>
      </c>
      <c r="E31" s="2">
        <v>1</v>
      </c>
      <c r="F31" s="2">
        <v>0.75</v>
      </c>
      <c r="G31" s="2">
        <v>0</v>
      </c>
      <c r="H31" s="2">
        <v>0.68899999999999995</v>
      </c>
      <c r="I31" s="2">
        <v>6.0999999999999999E-2</v>
      </c>
      <c r="J31">
        <f>H31-F31</f>
        <v>-6.1000000000000054E-2</v>
      </c>
      <c r="K31" s="4">
        <f>J31/$B$34</f>
        <v>-2.1826946308724851</v>
      </c>
      <c r="L31" s="6">
        <f>-K31</f>
        <v>2.1826946308724851</v>
      </c>
      <c r="M31" s="6">
        <f>L31/F31</f>
        <v>2.9102595078299802</v>
      </c>
      <c r="N31" s="7">
        <f>(F31-H31)/F31*100</f>
        <v>8.1333333333333417</v>
      </c>
    </row>
    <row r="32" spans="1:14" x14ac:dyDescent="0.25">
      <c r="B32">
        <f>B31+273.15</f>
        <v>533.15</v>
      </c>
      <c r="C32" t="s">
        <v>0</v>
      </c>
      <c r="E32" s="2">
        <v>2</v>
      </c>
      <c r="F32" s="2">
        <v>1</v>
      </c>
      <c r="G32" s="2">
        <v>0</v>
      </c>
      <c r="H32" s="2">
        <v>0.91800000000000004</v>
      </c>
      <c r="I32" s="2">
        <v>8.2000000000000003E-2</v>
      </c>
      <c r="J32">
        <f t="shared" ref="J32:J35" si="15">H32-F32</f>
        <v>-8.1999999999999962E-2</v>
      </c>
      <c r="K32" s="4">
        <f t="shared" ref="K32:K35" si="16">J32/$B$34</f>
        <v>-2.9341140939597299</v>
      </c>
      <c r="L32" s="6">
        <f t="shared" ref="L32:L35" si="17">-K32</f>
        <v>2.9341140939597299</v>
      </c>
      <c r="M32" s="6">
        <f t="shared" ref="M32:M35" si="18">L32/F32</f>
        <v>2.9341140939597299</v>
      </c>
      <c r="N32" s="7">
        <f t="shared" ref="N32:N35" si="19">(F32-H32)/F32*100</f>
        <v>8.1999999999999957</v>
      </c>
    </row>
    <row r="33" spans="1:14" x14ac:dyDescent="0.25">
      <c r="A33" t="s">
        <v>18</v>
      </c>
      <c r="B33" s="4">
        <f>$B$2*B32/298</f>
        <v>7.1563758389261734E-6</v>
      </c>
      <c r="C33" t="s">
        <v>20</v>
      </c>
      <c r="E33" s="2">
        <v>3</v>
      </c>
      <c r="F33" s="2">
        <v>1.25</v>
      </c>
      <c r="G33" s="2">
        <v>0</v>
      </c>
      <c r="H33" s="2">
        <v>1.1479999999999999</v>
      </c>
      <c r="I33" s="2">
        <v>0.10199999999999999</v>
      </c>
      <c r="J33">
        <f t="shared" si="15"/>
        <v>-0.10200000000000009</v>
      </c>
      <c r="K33" s="4">
        <f t="shared" si="16"/>
        <v>-3.6497516778523522</v>
      </c>
      <c r="L33" s="6">
        <f t="shared" si="17"/>
        <v>3.6497516778523522</v>
      </c>
      <c r="M33" s="6">
        <f t="shared" si="18"/>
        <v>2.9198013422818816</v>
      </c>
      <c r="N33" s="7">
        <f t="shared" si="19"/>
        <v>8.1600000000000072</v>
      </c>
    </row>
    <row r="34" spans="1:14" x14ac:dyDescent="0.25">
      <c r="A34" t="s">
        <v>19</v>
      </c>
      <c r="B34" s="4">
        <f>$B$3/B33</f>
        <v>2.7947106817968678E-2</v>
      </c>
      <c r="C34" t="s">
        <v>21</v>
      </c>
      <c r="E34" s="2">
        <v>4</v>
      </c>
      <c r="F34" s="2">
        <v>1.5</v>
      </c>
      <c r="G34" s="2">
        <v>0</v>
      </c>
      <c r="H34" s="2">
        <v>1.377</v>
      </c>
      <c r="I34" s="2">
        <v>0.123</v>
      </c>
      <c r="J34">
        <f t="shared" si="15"/>
        <v>-0.123</v>
      </c>
      <c r="K34" s="4">
        <f t="shared" si="16"/>
        <v>-4.4011711409395966</v>
      </c>
      <c r="L34" s="6">
        <f t="shared" si="17"/>
        <v>4.4011711409395966</v>
      </c>
      <c r="M34" s="6">
        <f t="shared" si="18"/>
        <v>2.9341140939597312</v>
      </c>
      <c r="N34" s="7">
        <f t="shared" si="19"/>
        <v>8.2000000000000011</v>
      </c>
    </row>
    <row r="35" spans="1:14" x14ac:dyDescent="0.25">
      <c r="E35" s="2">
        <v>5</v>
      </c>
      <c r="F35" s="2">
        <v>1.75</v>
      </c>
      <c r="G35" s="2">
        <v>0</v>
      </c>
      <c r="H35" s="2">
        <v>1.607</v>
      </c>
      <c r="I35" s="2">
        <v>0.14299999999999999</v>
      </c>
      <c r="J35">
        <f t="shared" si="15"/>
        <v>-0.14300000000000002</v>
      </c>
      <c r="K35" s="4">
        <f t="shared" si="16"/>
        <v>-5.1168087248322154</v>
      </c>
      <c r="L35" s="6">
        <f t="shared" si="17"/>
        <v>5.1168087248322154</v>
      </c>
      <c r="M35" s="6">
        <f t="shared" si="18"/>
        <v>2.9238906999041232</v>
      </c>
      <c r="N35" s="7">
        <f t="shared" si="19"/>
        <v>8.1714285714285726</v>
      </c>
    </row>
    <row r="36" spans="1:14" x14ac:dyDescent="0.25">
      <c r="N36" s="4"/>
    </row>
    <row r="39" spans="1:14" x14ac:dyDescent="0.25">
      <c r="A39" t="s">
        <v>31</v>
      </c>
      <c r="B39" t="s">
        <v>25</v>
      </c>
      <c r="C39" t="s">
        <v>26</v>
      </c>
      <c r="D39" s="5" t="s">
        <v>27</v>
      </c>
    </row>
    <row r="40" spans="1:14" x14ac:dyDescent="0.25">
      <c r="A40">
        <v>493.15</v>
      </c>
      <c r="B40" s="6">
        <v>0.9879</v>
      </c>
      <c r="C40" s="6">
        <f>LN(B40)</f>
        <v>-1.2173800931708762E-2</v>
      </c>
      <c r="D40">
        <f>-1/A40</f>
        <v>-2.0277805941397143E-3</v>
      </c>
    </row>
    <row r="41" spans="1:14" x14ac:dyDescent="0.25">
      <c r="A41">
        <v>513.15</v>
      </c>
      <c r="B41" s="6">
        <v>1.7562</v>
      </c>
      <c r="C41" s="6">
        <f t="shared" ref="C41:C42" si="20">LN(B41)</f>
        <v>0.56315238394375811</v>
      </c>
      <c r="D41">
        <f t="shared" ref="D41:D42" si="21">-1/A41</f>
        <v>-1.948747929455325E-3</v>
      </c>
    </row>
    <row r="42" spans="1:14" x14ac:dyDescent="0.25">
      <c r="A42">
        <v>533.15</v>
      </c>
      <c r="B42" s="6">
        <v>3.0505</v>
      </c>
      <c r="C42" s="6">
        <f t="shared" si="20"/>
        <v>1.1153055116097701</v>
      </c>
      <c r="D42">
        <f t="shared" si="21"/>
        <v>-1.8756447528838038E-3</v>
      </c>
    </row>
    <row r="46" spans="1:14" x14ac:dyDescent="0.25">
      <c r="A46" t="s">
        <v>28</v>
      </c>
      <c r="B46" s="6">
        <v>7409.2</v>
      </c>
    </row>
    <row r="47" spans="1:14" x14ac:dyDescent="0.25">
      <c r="A47" t="s">
        <v>29</v>
      </c>
      <c r="B47" s="6">
        <v>15.009</v>
      </c>
    </row>
    <row r="48" spans="1:14" x14ac:dyDescent="0.25">
      <c r="A48" t="s">
        <v>30</v>
      </c>
      <c r="B48" s="4">
        <f>EXP(B47)</f>
        <v>3298571.3221088354</v>
      </c>
    </row>
    <row r="49" spans="2:2" x14ac:dyDescent="0.25">
      <c r="B49" s="4"/>
    </row>
    <row r="78" spans="2:2" x14ac:dyDescent="0.25">
      <c r="B78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20E2-7CD9-4B49-B4F8-86216A49F312}">
  <dimension ref="A1:N78"/>
  <sheetViews>
    <sheetView tabSelected="1" zoomScale="109" zoomScaleNormal="120" workbookViewId="0">
      <selection activeCell="B3" sqref="B3"/>
    </sheetView>
  </sheetViews>
  <sheetFormatPr defaultRowHeight="15" x14ac:dyDescent="0.25"/>
  <cols>
    <col min="1" max="1" width="52" bestFit="1" customWidth="1"/>
    <col min="2" max="2" width="10.7109375" bestFit="1" customWidth="1"/>
    <col min="14" max="14" width="10.28515625" bestFit="1" customWidth="1"/>
  </cols>
  <sheetData>
    <row r="1" spans="1:14" x14ac:dyDescent="0.25">
      <c r="A1" s="1"/>
      <c r="B1" s="1"/>
      <c r="C1" s="1"/>
      <c r="D1" s="1"/>
      <c r="E1" s="1"/>
      <c r="F1" s="1"/>
    </row>
    <row r="2" spans="1:14" x14ac:dyDescent="0.25">
      <c r="A2" s="3" t="s">
        <v>39</v>
      </c>
      <c r="B2" s="4">
        <v>1750</v>
      </c>
      <c r="C2" t="s">
        <v>40</v>
      </c>
      <c r="D2" s="1"/>
      <c r="E2" s="1"/>
      <c r="F2" s="1"/>
      <c r="G2" t="s">
        <v>35</v>
      </c>
      <c r="H2">
        <v>1.4999999999999999E-2</v>
      </c>
    </row>
    <row r="3" spans="1:14" x14ac:dyDescent="0.25">
      <c r="A3" s="3" t="s">
        <v>16</v>
      </c>
      <c r="B3" s="4">
        <f xml:space="preserve"> 0.25*PI()*H2^2*H3</f>
        <v>7.0685834705770344E-6</v>
      </c>
      <c r="C3" t="s">
        <v>17</v>
      </c>
      <c r="D3" s="1"/>
      <c r="E3" s="1"/>
      <c r="F3" s="1"/>
      <c r="G3" t="s">
        <v>36</v>
      </c>
      <c r="H3">
        <v>0.04</v>
      </c>
    </row>
    <row r="4" spans="1:14" x14ac:dyDescent="0.25">
      <c r="A4" s="3" t="s">
        <v>32</v>
      </c>
      <c r="B4" s="4">
        <v>0.4</v>
      </c>
      <c r="D4" s="1"/>
      <c r="E4" s="1"/>
      <c r="F4" s="1"/>
    </row>
    <row r="6" spans="1:14" x14ac:dyDescent="0.25">
      <c r="A6" s="3" t="s">
        <v>33</v>
      </c>
    </row>
    <row r="7" spans="1:14" x14ac:dyDescent="0.25">
      <c r="A7" t="s">
        <v>34</v>
      </c>
      <c r="B7">
        <f xml:space="preserve"> 0.08</f>
        <v>0.08</v>
      </c>
      <c r="C7" t="s">
        <v>15</v>
      </c>
      <c r="E7" s="1" t="s">
        <v>5</v>
      </c>
      <c r="F7" s="1" t="s">
        <v>6</v>
      </c>
      <c r="G7" s="1" t="s">
        <v>8</v>
      </c>
      <c r="H7" s="1" t="s">
        <v>22</v>
      </c>
      <c r="I7" s="1" t="s">
        <v>23</v>
      </c>
      <c r="J7" s="1" t="s">
        <v>2</v>
      </c>
      <c r="K7" s="1" t="s">
        <v>24</v>
      </c>
      <c r="L7" s="1" t="s">
        <v>1</v>
      </c>
      <c r="M7" s="1" t="s">
        <v>41</v>
      </c>
      <c r="N7" s="1" t="s">
        <v>42</v>
      </c>
    </row>
    <row r="8" spans="1:14" x14ac:dyDescent="0.25">
      <c r="E8" s="2">
        <v>1</v>
      </c>
      <c r="F8" s="2">
        <v>1</v>
      </c>
      <c r="G8" s="2">
        <f xml:space="preserve"> (1-L8/100)*F8</f>
        <v>0.92900000000000005</v>
      </c>
      <c r="H8">
        <f xml:space="preserve"> G8-F8</f>
        <v>-7.0999999999999952E-2</v>
      </c>
      <c r="I8" s="4">
        <f xml:space="preserve"> H8/$B$11</f>
        <v>-1348.2476909201564</v>
      </c>
      <c r="J8" s="6">
        <f xml:space="preserve"> -I8/((1-$B$4)*$B$2)</f>
        <v>1.2840454199239584</v>
      </c>
      <c r="K8" s="6">
        <f xml:space="preserve"> J8/F8</f>
        <v>1.2840454199239584</v>
      </c>
      <c r="L8" s="7">
        <v>7.1</v>
      </c>
      <c r="M8">
        <f xml:space="preserve"> J8/F8</f>
        <v>1.2840454199239584</v>
      </c>
      <c r="N8" s="6">
        <f xml:space="preserve"> $B$11*J8 + 0</f>
        <v>6.7619047619047558E-5</v>
      </c>
    </row>
    <row r="9" spans="1:14" x14ac:dyDescent="0.25">
      <c r="A9" t="s">
        <v>4</v>
      </c>
      <c r="B9">
        <v>500</v>
      </c>
      <c r="C9" t="s">
        <v>0</v>
      </c>
      <c r="E9" s="2">
        <v>2</v>
      </c>
      <c r="F9" s="2">
        <v>1.2</v>
      </c>
      <c r="G9" s="2">
        <f t="shared" ref="G9:G17" si="0" xml:space="preserve"> (1-L9/100)*F9</f>
        <v>1.1159999999999999</v>
      </c>
      <c r="H9">
        <f t="shared" ref="H9:H17" si="1" xml:space="preserve"> G9-F9</f>
        <v>-8.4000000000000075E-2</v>
      </c>
      <c r="I9" s="4">
        <f t="shared" ref="I9:I17" si="2" xml:space="preserve"> H9/$B$11</f>
        <v>-1595.10994418723</v>
      </c>
      <c r="J9" s="6">
        <f t="shared" ref="J9:J17" si="3" xml:space="preserve"> -I9/((1-$B$4)*$B$2)</f>
        <v>1.519152327797362</v>
      </c>
      <c r="K9" s="6">
        <f t="shared" ref="K9:K17" si="4" xml:space="preserve"> J9/F9</f>
        <v>1.2659602731644684</v>
      </c>
      <c r="L9" s="7">
        <v>7</v>
      </c>
      <c r="M9">
        <f t="shared" ref="M9:M17" si="5" xml:space="preserve"> J9/F9</f>
        <v>1.2659602731644684</v>
      </c>
      <c r="N9" s="6">
        <f t="shared" ref="N9:N17" si="6" xml:space="preserve"> $B$11*J9 + 0</f>
        <v>8.0000000000000074E-5</v>
      </c>
    </row>
    <row r="10" spans="1:14" x14ac:dyDescent="0.25">
      <c r="A10" t="s">
        <v>18</v>
      </c>
      <c r="B10" s="4">
        <f>B7*B9/298</f>
        <v>0.13422818791946309</v>
      </c>
      <c r="C10" t="s">
        <v>20</v>
      </c>
      <c r="E10" s="2">
        <v>3</v>
      </c>
      <c r="F10" s="2">
        <v>1.4</v>
      </c>
      <c r="G10" s="2">
        <f t="shared" si="0"/>
        <v>1.3033999999999999</v>
      </c>
      <c r="H10">
        <f t="shared" si="1"/>
        <v>-9.6600000000000019E-2</v>
      </c>
      <c r="I10" s="4">
        <f t="shared" si="2"/>
        <v>-1834.3764358153132</v>
      </c>
      <c r="J10" s="6">
        <f t="shared" si="3"/>
        <v>1.7470251769669649</v>
      </c>
      <c r="K10" s="6">
        <f t="shared" si="4"/>
        <v>1.247875126404975</v>
      </c>
      <c r="L10" s="7">
        <v>6.9</v>
      </c>
      <c r="M10">
        <f t="shared" si="5"/>
        <v>1.247875126404975</v>
      </c>
      <c r="N10" s="6">
        <f t="shared" si="6"/>
        <v>9.2000000000000014E-5</v>
      </c>
    </row>
    <row r="11" spans="1:14" x14ac:dyDescent="0.25">
      <c r="A11" t="s">
        <v>19</v>
      </c>
      <c r="B11" s="4">
        <f>$B$3/B10</f>
        <v>5.2660946855798907E-5</v>
      </c>
      <c r="C11" t="s">
        <v>21</v>
      </c>
      <c r="E11" s="2">
        <v>4</v>
      </c>
      <c r="F11" s="2">
        <v>1.6</v>
      </c>
      <c r="G11" s="2">
        <f t="shared" si="0"/>
        <v>1.4896000000000003</v>
      </c>
      <c r="H11">
        <f t="shared" si="1"/>
        <v>-0.11039999999999983</v>
      </c>
      <c r="I11" s="4">
        <f t="shared" si="2"/>
        <v>-2096.4302123603543</v>
      </c>
      <c r="J11" s="6">
        <f t="shared" si="3"/>
        <v>1.9966002022479565</v>
      </c>
      <c r="K11" s="6">
        <f t="shared" si="4"/>
        <v>1.2478751264049728</v>
      </c>
      <c r="L11" s="7">
        <v>6.9</v>
      </c>
      <c r="M11">
        <f t="shared" si="5"/>
        <v>1.2478751264049728</v>
      </c>
      <c r="N11" s="6">
        <f t="shared" si="6"/>
        <v>1.0514285714285699E-4</v>
      </c>
    </row>
    <row r="12" spans="1:14" x14ac:dyDescent="0.25">
      <c r="E12" s="2">
        <v>5</v>
      </c>
      <c r="F12" s="2">
        <v>1.8</v>
      </c>
      <c r="G12" s="2">
        <f t="shared" si="0"/>
        <v>1.6776</v>
      </c>
      <c r="H12">
        <f t="shared" si="1"/>
        <v>-0.12240000000000006</v>
      </c>
      <c r="I12" s="4">
        <f t="shared" si="2"/>
        <v>-2324.3030615299626</v>
      </c>
      <c r="J12" s="6">
        <f t="shared" si="3"/>
        <v>2.2136219633618692</v>
      </c>
      <c r="K12" s="6">
        <f t="shared" si="4"/>
        <v>1.229789979645483</v>
      </c>
      <c r="L12" s="7">
        <v>6.8</v>
      </c>
      <c r="M12">
        <f t="shared" si="5"/>
        <v>1.229789979645483</v>
      </c>
      <c r="N12" s="6">
        <f t="shared" si="6"/>
        <v>1.1657142857142864E-4</v>
      </c>
    </row>
    <row r="13" spans="1:14" x14ac:dyDescent="0.25">
      <c r="E13" s="2">
        <v>6</v>
      </c>
      <c r="F13" s="2">
        <v>2</v>
      </c>
      <c r="G13" s="2">
        <f t="shared" si="0"/>
        <v>1.8660000000000001</v>
      </c>
      <c r="H13">
        <f t="shared" si="1"/>
        <v>-0.1339999999999999</v>
      </c>
      <c r="I13" s="4">
        <f t="shared" si="2"/>
        <v>-2544.5801490605768</v>
      </c>
      <c r="J13" s="6">
        <f t="shared" si="3"/>
        <v>2.4234096657719779</v>
      </c>
      <c r="K13" s="6">
        <f t="shared" si="4"/>
        <v>1.211704832885989</v>
      </c>
      <c r="L13" s="7">
        <v>6.7</v>
      </c>
      <c r="M13">
        <f t="shared" si="5"/>
        <v>1.211704832885989</v>
      </c>
      <c r="N13" s="6">
        <f t="shared" si="6"/>
        <v>1.2761904761904753E-4</v>
      </c>
    </row>
    <row r="14" spans="1:14" x14ac:dyDescent="0.25">
      <c r="E14" s="2">
        <v>7</v>
      </c>
      <c r="F14" s="2">
        <v>2.2000000000000002</v>
      </c>
      <c r="G14" s="2">
        <f t="shared" si="0"/>
        <v>2.0526000000000004</v>
      </c>
      <c r="H14">
        <f t="shared" si="1"/>
        <v>-0.14739999999999975</v>
      </c>
      <c r="I14" s="4">
        <f t="shared" si="2"/>
        <v>-2799.0381639666321</v>
      </c>
      <c r="J14" s="6">
        <f t="shared" si="3"/>
        <v>2.6657506323491735</v>
      </c>
      <c r="K14" s="6">
        <f t="shared" si="4"/>
        <v>1.2117048328859878</v>
      </c>
      <c r="L14" s="7">
        <v>6.7</v>
      </c>
      <c r="M14">
        <f t="shared" si="5"/>
        <v>1.2117048328859878</v>
      </c>
      <c r="N14" s="6">
        <f t="shared" si="6"/>
        <v>1.4038095238095216E-4</v>
      </c>
    </row>
    <row r="15" spans="1:14" x14ac:dyDescent="0.25">
      <c r="E15" s="2">
        <v>8</v>
      </c>
      <c r="F15" s="2">
        <v>2.4</v>
      </c>
      <c r="G15" s="2">
        <f t="shared" si="0"/>
        <v>2.2415999999999996</v>
      </c>
      <c r="H15">
        <f t="shared" si="1"/>
        <v>-0.15840000000000032</v>
      </c>
      <c r="I15" s="4">
        <f t="shared" si="2"/>
        <v>-3007.9216090387799</v>
      </c>
      <c r="J15" s="6">
        <f t="shared" si="3"/>
        <v>2.8646872467035998</v>
      </c>
      <c r="K15" s="6">
        <f t="shared" si="4"/>
        <v>1.1936196861265</v>
      </c>
      <c r="L15" s="7">
        <v>6.6</v>
      </c>
      <c r="M15">
        <f t="shared" si="5"/>
        <v>1.1936196861265</v>
      </c>
      <c r="N15" s="6">
        <f t="shared" si="6"/>
        <v>1.5085714285714317E-4</v>
      </c>
    </row>
    <row r="16" spans="1:14" x14ac:dyDescent="0.25">
      <c r="E16" s="2">
        <v>9</v>
      </c>
      <c r="F16" s="2">
        <v>2.6</v>
      </c>
      <c r="G16" s="2">
        <f t="shared" si="0"/>
        <v>2.431</v>
      </c>
      <c r="H16">
        <f t="shared" si="1"/>
        <v>-0.16900000000000004</v>
      </c>
      <c r="I16" s="4">
        <f t="shared" si="2"/>
        <v>-3209.2092924719245</v>
      </c>
      <c r="J16" s="6">
        <f t="shared" si="3"/>
        <v>3.056389802354214</v>
      </c>
      <c r="K16" s="6">
        <f t="shared" si="4"/>
        <v>1.1755345393670054</v>
      </c>
      <c r="L16" s="7">
        <v>6.5</v>
      </c>
      <c r="M16">
        <f t="shared" si="5"/>
        <v>1.1755345393670054</v>
      </c>
      <c r="N16" s="6">
        <f t="shared" si="6"/>
        <v>1.6095238095238098E-4</v>
      </c>
    </row>
    <row r="17" spans="1:14" x14ac:dyDescent="0.25">
      <c r="E17" s="2">
        <v>10</v>
      </c>
      <c r="F17" s="2">
        <v>2.8</v>
      </c>
      <c r="G17" s="2">
        <f t="shared" si="0"/>
        <v>2.6179999999999999</v>
      </c>
      <c r="H17">
        <f t="shared" si="1"/>
        <v>-0.18199999999999994</v>
      </c>
      <c r="I17" s="4">
        <f t="shared" si="2"/>
        <v>-3456.0715457389938</v>
      </c>
      <c r="J17" s="6">
        <f t="shared" si="3"/>
        <v>3.2914967102276131</v>
      </c>
      <c r="K17" s="6">
        <f t="shared" si="4"/>
        <v>1.1755345393670047</v>
      </c>
      <c r="L17" s="7">
        <v>6.5</v>
      </c>
      <c r="M17">
        <f t="shared" si="5"/>
        <v>1.1755345393670047</v>
      </c>
      <c r="N17" s="6">
        <f t="shared" si="6"/>
        <v>1.7333333333333328E-4</v>
      </c>
    </row>
    <row r="18" spans="1:14" x14ac:dyDescent="0.25">
      <c r="M18">
        <f xml:space="preserve"> AVERAGE(M8:M17)</f>
        <v>1.2243644356176344</v>
      </c>
      <c r="N18" s="7"/>
    </row>
    <row r="19" spans="1:14" x14ac:dyDescent="0.25">
      <c r="N19" s="7"/>
    </row>
    <row r="20" spans="1:14" x14ac:dyDescent="0.25">
      <c r="N20" s="7"/>
    </row>
    <row r="21" spans="1:14" x14ac:dyDescent="0.25">
      <c r="A21" s="3" t="s">
        <v>33</v>
      </c>
      <c r="N21" s="7"/>
    </row>
    <row r="22" spans="1:14" x14ac:dyDescent="0.25">
      <c r="A22" t="s">
        <v>34</v>
      </c>
      <c r="B22">
        <f xml:space="preserve"> 0.08</f>
        <v>0.08</v>
      </c>
      <c r="C22" t="s">
        <v>15</v>
      </c>
      <c r="E22" s="1" t="s">
        <v>5</v>
      </c>
      <c r="F22" s="1" t="s">
        <v>6</v>
      </c>
      <c r="G22" s="1" t="s">
        <v>8</v>
      </c>
      <c r="H22" s="1" t="s">
        <v>22</v>
      </c>
      <c r="I22" s="1" t="s">
        <v>23</v>
      </c>
      <c r="J22" s="1" t="s">
        <v>2</v>
      </c>
      <c r="K22" s="1" t="s">
        <v>24</v>
      </c>
      <c r="L22" s="1" t="s">
        <v>1</v>
      </c>
      <c r="M22" s="1" t="s">
        <v>41</v>
      </c>
      <c r="N22" s="4" t="s">
        <v>42</v>
      </c>
    </row>
    <row r="23" spans="1:14" x14ac:dyDescent="0.25">
      <c r="E23" s="2">
        <v>1</v>
      </c>
      <c r="F23" s="2">
        <v>1</v>
      </c>
      <c r="G23" s="2">
        <f xml:space="preserve"> (1-L23/100)*F23</f>
        <v>0.95</v>
      </c>
      <c r="H23">
        <f xml:space="preserve"> G23-F23</f>
        <v>-5.0000000000000044E-2</v>
      </c>
      <c r="I23" s="4">
        <f xml:space="preserve"> H23/$B$11</f>
        <v>-949.47020487335112</v>
      </c>
      <c r="J23" s="6">
        <f xml:space="preserve"> -I23/((1-$B$4)*$B$2)</f>
        <v>0.90425733797462016</v>
      </c>
      <c r="K23" s="6">
        <f xml:space="preserve"> J23/F23</f>
        <v>0.90425733797462016</v>
      </c>
      <c r="L23" s="7">
        <v>5</v>
      </c>
      <c r="M23">
        <f xml:space="preserve"> J23/F23^2</f>
        <v>0.90425733797462016</v>
      </c>
      <c r="N23" s="6">
        <f>J23*$B$26+0.25</f>
        <v>0.25004761904761907</v>
      </c>
    </row>
    <row r="24" spans="1:14" x14ac:dyDescent="0.25">
      <c r="A24" t="s">
        <v>4</v>
      </c>
      <c r="B24">
        <v>500</v>
      </c>
      <c r="C24" t="s">
        <v>0</v>
      </c>
      <c r="E24" s="2">
        <v>2</v>
      </c>
      <c r="F24" s="2">
        <v>1.2</v>
      </c>
      <c r="G24" s="2">
        <f t="shared" ref="G24:G32" si="7" xml:space="preserve"> (1-L24/100)*F24</f>
        <v>1.1412</v>
      </c>
      <c r="H24">
        <f t="shared" ref="H24:H32" si="8" xml:space="preserve"> G24-F24</f>
        <v>-5.8799999999999963E-2</v>
      </c>
      <c r="I24" s="4">
        <f t="shared" ref="I24:I32" si="9" xml:space="preserve"> H24/$B$11</f>
        <v>-1116.5769609310591</v>
      </c>
      <c r="J24" s="6">
        <f t="shared" ref="J24:J32" si="10" xml:space="preserve"> -I24/((1-$B$4)*$B$2)</f>
        <v>1.0634066294581517</v>
      </c>
      <c r="K24" s="6">
        <f t="shared" ref="K24:K32" si="11" xml:space="preserve"> J24/F24</f>
        <v>0.88617219121512647</v>
      </c>
      <c r="L24" s="7">
        <v>4.9000000000000004</v>
      </c>
      <c r="M24">
        <f t="shared" ref="M24:M27" si="12" xml:space="preserve"> J24/F24^2</f>
        <v>0.73847682601260534</v>
      </c>
      <c r="N24" s="6">
        <f t="shared" ref="N24:N32" si="13">J24*$B$26+0.25</f>
        <v>0.250056</v>
      </c>
    </row>
    <row r="25" spans="1:14" x14ac:dyDescent="0.25">
      <c r="A25" t="s">
        <v>18</v>
      </c>
      <c r="B25" s="4">
        <f>B22*B24/298</f>
        <v>0.13422818791946309</v>
      </c>
      <c r="C25" t="s">
        <v>20</v>
      </c>
      <c r="E25" s="2">
        <v>3</v>
      </c>
      <c r="F25" s="2">
        <v>1.4</v>
      </c>
      <c r="G25" s="2">
        <f t="shared" si="7"/>
        <v>1.3313999999999999</v>
      </c>
      <c r="H25">
        <f t="shared" si="8"/>
        <v>-6.8599999999999994E-2</v>
      </c>
      <c r="I25" s="4">
        <f t="shared" si="9"/>
        <v>-1302.6731210862365</v>
      </c>
      <c r="J25" s="6">
        <f t="shared" si="10"/>
        <v>1.2406410677011777</v>
      </c>
      <c r="K25" s="6">
        <f t="shared" si="11"/>
        <v>0.88617219121512691</v>
      </c>
      <c r="L25" s="7">
        <v>4.9000000000000004</v>
      </c>
      <c r="M25">
        <f t="shared" si="12"/>
        <v>0.63298013658223362</v>
      </c>
      <c r="N25" s="6">
        <f t="shared" si="13"/>
        <v>0.25006533333333331</v>
      </c>
    </row>
    <row r="26" spans="1:14" x14ac:dyDescent="0.25">
      <c r="A26" t="s">
        <v>19</v>
      </c>
      <c r="B26" s="4">
        <f>$B$3/B25</f>
        <v>5.2660946855798907E-5</v>
      </c>
      <c r="C26" t="s">
        <v>21</v>
      </c>
      <c r="E26" s="2">
        <v>4</v>
      </c>
      <c r="F26" s="2">
        <v>1.6</v>
      </c>
      <c r="G26" s="2">
        <f t="shared" si="7"/>
        <v>1.5220800000000001</v>
      </c>
      <c r="H26">
        <f t="shared" si="8"/>
        <v>-7.7919999999999989E-2</v>
      </c>
      <c r="I26" s="4">
        <f t="shared" si="9"/>
        <v>-1479.6543672746288</v>
      </c>
      <c r="J26" s="6">
        <f t="shared" si="10"/>
        <v>1.4091946354996465</v>
      </c>
      <c r="K26" s="6">
        <f t="shared" si="11"/>
        <v>0.88074664718727902</v>
      </c>
      <c r="L26" s="7">
        <v>4.87</v>
      </c>
      <c r="M26">
        <f t="shared" si="12"/>
        <v>0.55046665449204935</v>
      </c>
      <c r="N26" s="6">
        <f t="shared" si="13"/>
        <v>0.25007420952380954</v>
      </c>
    </row>
    <row r="27" spans="1:14" x14ac:dyDescent="0.25">
      <c r="E27" s="2">
        <v>5</v>
      </c>
      <c r="F27" s="2">
        <v>1.8</v>
      </c>
      <c r="G27" s="2">
        <f t="shared" si="7"/>
        <v>1.71288</v>
      </c>
      <c r="H27">
        <f t="shared" si="8"/>
        <v>-8.7120000000000086E-2</v>
      </c>
      <c r="I27" s="4">
        <f t="shared" si="9"/>
        <v>-1654.3568849713272</v>
      </c>
      <c r="J27" s="6">
        <f t="shared" si="10"/>
        <v>1.5755779856869783</v>
      </c>
      <c r="K27" s="6">
        <f t="shared" si="11"/>
        <v>0.87532110315943235</v>
      </c>
      <c r="L27" s="7">
        <v>4.84</v>
      </c>
      <c r="M27">
        <f t="shared" si="12"/>
        <v>0.48628950175524016</v>
      </c>
      <c r="N27" s="6">
        <f t="shared" si="13"/>
        <v>0.25008297142857144</v>
      </c>
    </row>
    <row r="28" spans="1:14" x14ac:dyDescent="0.25">
      <c r="E28" s="2">
        <v>6</v>
      </c>
      <c r="F28" s="2">
        <v>2</v>
      </c>
      <c r="G28" s="2">
        <f t="shared" si="7"/>
        <v>1.9036</v>
      </c>
      <c r="H28">
        <f t="shared" si="8"/>
        <v>-9.6400000000000041E-2</v>
      </c>
      <c r="I28" s="4">
        <f t="shared" si="9"/>
        <v>-1830.5785549958202</v>
      </c>
      <c r="J28" s="6">
        <f t="shared" si="10"/>
        <v>1.7434081476150669</v>
      </c>
      <c r="K28" s="6">
        <f t="shared" si="11"/>
        <v>0.87170407380753345</v>
      </c>
      <c r="L28" s="7">
        <v>4.82</v>
      </c>
      <c r="M28">
        <f xml:space="preserve"> AVERAGE(M23:M27)</f>
        <v>0.66249409136334969</v>
      </c>
      <c r="N28" s="6">
        <f t="shared" si="13"/>
        <v>0.25009180952380955</v>
      </c>
    </row>
    <row r="29" spans="1:14" x14ac:dyDescent="0.25">
      <c r="E29" s="2">
        <v>7</v>
      </c>
      <c r="F29" s="2">
        <v>2.2000000000000002</v>
      </c>
      <c r="G29" s="2">
        <f t="shared" si="7"/>
        <v>2.0946199999999999</v>
      </c>
      <c r="H29">
        <f t="shared" si="8"/>
        <v>-0.10538000000000025</v>
      </c>
      <c r="I29" s="4">
        <f t="shared" si="9"/>
        <v>-2001.1034037910779</v>
      </c>
      <c r="J29" s="6">
        <f t="shared" si="10"/>
        <v>1.9058127655153123</v>
      </c>
      <c r="K29" s="6">
        <f t="shared" si="11"/>
        <v>0.86627852977968733</v>
      </c>
      <c r="L29" s="7">
        <v>4.79</v>
      </c>
      <c r="M29">
        <f xml:space="preserve"> J29/F29^2</f>
        <v>0.39376296808167605</v>
      </c>
      <c r="N29" s="6">
        <f t="shared" si="13"/>
        <v>0.25010036190476193</v>
      </c>
    </row>
    <row r="30" spans="1:14" x14ac:dyDescent="0.25">
      <c r="E30" s="2">
        <v>8</v>
      </c>
      <c r="F30" s="2">
        <v>2.4</v>
      </c>
      <c r="G30" s="2">
        <f t="shared" si="7"/>
        <v>2.2857599999999998</v>
      </c>
      <c r="H30">
        <f t="shared" si="8"/>
        <v>-0.11424000000000012</v>
      </c>
      <c r="I30" s="4">
        <f t="shared" si="9"/>
        <v>-2169.3495240946331</v>
      </c>
      <c r="J30" s="6">
        <f t="shared" si="10"/>
        <v>2.0660471658044126</v>
      </c>
      <c r="K30" s="6">
        <f t="shared" si="11"/>
        <v>0.86085298575183866</v>
      </c>
      <c r="L30" s="7">
        <v>4.76</v>
      </c>
      <c r="M30">
        <f t="shared" ref="M30:M32" si="14" xml:space="preserve"> J30/F30^2</f>
        <v>0.35868874406326612</v>
      </c>
      <c r="N30" s="6">
        <f t="shared" si="13"/>
        <v>0.25010880000000002</v>
      </c>
    </row>
    <row r="31" spans="1:14" x14ac:dyDescent="0.25">
      <c r="E31" s="2">
        <v>9</v>
      </c>
      <c r="F31" s="2">
        <v>2.6</v>
      </c>
      <c r="G31" s="2">
        <f t="shared" si="7"/>
        <v>2.4767600000000001</v>
      </c>
      <c r="H31">
        <f t="shared" si="8"/>
        <v>-0.12324000000000002</v>
      </c>
      <c r="I31" s="4">
        <f t="shared" si="9"/>
        <v>-2340.2541609718342</v>
      </c>
      <c r="J31" s="6">
        <f t="shared" si="10"/>
        <v>2.2288134866398419</v>
      </c>
      <c r="K31" s="6">
        <f t="shared" si="11"/>
        <v>0.85723595639993921</v>
      </c>
      <c r="L31" s="7">
        <v>4.74</v>
      </c>
      <c r="M31">
        <f t="shared" si="14"/>
        <v>0.32970613707689966</v>
      </c>
      <c r="N31" s="6">
        <f t="shared" si="13"/>
        <v>0.25011737142857143</v>
      </c>
    </row>
    <row r="32" spans="1:14" x14ac:dyDescent="0.25">
      <c r="E32" s="2">
        <v>10</v>
      </c>
      <c r="F32" s="2">
        <v>2.8</v>
      </c>
      <c r="G32" s="2">
        <f t="shared" si="7"/>
        <v>2.6681199999999996</v>
      </c>
      <c r="H32">
        <f t="shared" si="8"/>
        <v>-0.13188000000000022</v>
      </c>
      <c r="I32" s="4">
        <f t="shared" si="9"/>
        <v>-2504.3226123739528</v>
      </c>
      <c r="J32" s="6">
        <f t="shared" si="10"/>
        <v>2.3850691546418599</v>
      </c>
      <c r="K32" s="6">
        <f t="shared" si="11"/>
        <v>0.85181041237209287</v>
      </c>
      <c r="L32" s="7">
        <v>4.71</v>
      </c>
      <c r="M32">
        <f t="shared" si="14"/>
        <v>0.30421800441860464</v>
      </c>
      <c r="N32" s="6">
        <f t="shared" si="13"/>
        <v>0.2501256</v>
      </c>
    </row>
    <row r="37" spans="1:14" x14ac:dyDescent="0.25">
      <c r="A37" t="s">
        <v>37</v>
      </c>
      <c r="M37" s="8"/>
    </row>
    <row r="38" spans="1:14" x14ac:dyDescent="0.25">
      <c r="M38" s="6"/>
      <c r="N38" s="4"/>
    </row>
    <row r="39" spans="1:14" x14ac:dyDescent="0.25">
      <c r="A39" t="s">
        <v>34</v>
      </c>
      <c r="B39">
        <v>0.15</v>
      </c>
      <c r="C39" t="s">
        <v>15</v>
      </c>
      <c r="E39" s="1" t="s">
        <v>5</v>
      </c>
      <c r="F39" s="1" t="s">
        <v>6</v>
      </c>
      <c r="G39" s="1" t="s">
        <v>8</v>
      </c>
      <c r="H39" s="1" t="s">
        <v>22</v>
      </c>
      <c r="I39" s="1" t="s">
        <v>23</v>
      </c>
      <c r="J39" s="1" t="s">
        <v>2</v>
      </c>
      <c r="K39" s="1" t="s">
        <v>24</v>
      </c>
      <c r="L39" s="1" t="s">
        <v>1</v>
      </c>
      <c r="M39" s="6" t="s">
        <v>41</v>
      </c>
    </row>
    <row r="40" spans="1:14" x14ac:dyDescent="0.25">
      <c r="E40" s="2">
        <v>1</v>
      </c>
      <c r="F40" s="2">
        <v>1</v>
      </c>
      <c r="G40" s="2">
        <f xml:space="preserve"> (1-L40/100)*F40</f>
        <v>0.95</v>
      </c>
      <c r="H40">
        <f xml:space="preserve"> G40-F40</f>
        <v>-5.0000000000000044E-2</v>
      </c>
      <c r="I40" s="4">
        <f xml:space="preserve"> H40/$B$11</f>
        <v>-949.47020487335112</v>
      </c>
      <c r="J40" s="6">
        <f xml:space="preserve"> -I40/((1-$B$4)*$B$2)</f>
        <v>0.90425733797462016</v>
      </c>
      <c r="K40" s="6">
        <f xml:space="preserve"> J40/F40</f>
        <v>0.90425733797462016</v>
      </c>
      <c r="L40" s="7">
        <v>5</v>
      </c>
      <c r="M40" s="6">
        <f xml:space="preserve"> J40/F40^2</f>
        <v>0.90425733797462016</v>
      </c>
      <c r="N40" s="1"/>
    </row>
    <row r="41" spans="1:14" x14ac:dyDescent="0.25">
      <c r="B41">
        <v>510</v>
      </c>
      <c r="C41" t="s">
        <v>0</v>
      </c>
      <c r="E41" s="2">
        <v>2</v>
      </c>
      <c r="F41" s="2">
        <v>1.2</v>
      </c>
      <c r="G41" s="2">
        <f t="shared" ref="G41:G44" si="15" xml:space="preserve"> (1-L41/100)*F41</f>
        <v>1.1279999999999999</v>
      </c>
      <c r="H41">
        <f t="shared" ref="H41:H44" si="16" xml:space="preserve"> G41-F41</f>
        <v>-7.2000000000000064E-2</v>
      </c>
      <c r="I41" s="4">
        <f t="shared" ref="I41:I44" si="17" xml:space="preserve"> H41/$B$11</f>
        <v>-1367.2370950176257</v>
      </c>
      <c r="J41" s="6">
        <f t="shared" ref="J41:J44" si="18" xml:space="preserve"> -I41/((1-$B$4)*$B$2)</f>
        <v>1.3021305666834531</v>
      </c>
      <c r="K41" s="6">
        <f t="shared" ref="K41:K44" si="19" xml:space="preserve"> J41/F41</f>
        <v>1.0851088055695444</v>
      </c>
      <c r="L41" s="7">
        <v>6</v>
      </c>
      <c r="M41" s="6">
        <f t="shared" ref="M41:M44" si="20" xml:space="preserve"> J41/F41^2</f>
        <v>0.90425733797462027</v>
      </c>
      <c r="N41" s="7"/>
    </row>
    <row r="42" spans="1:14" x14ac:dyDescent="0.25">
      <c r="A42" t="s">
        <v>38</v>
      </c>
      <c r="B42" s="4">
        <f>B39*B41/298</f>
        <v>0.25671140939597314</v>
      </c>
      <c r="C42" t="s">
        <v>20</v>
      </c>
      <c r="E42" s="2">
        <v>3</v>
      </c>
      <c r="F42" s="2">
        <v>1.4</v>
      </c>
      <c r="G42" s="2">
        <f t="shared" si="15"/>
        <v>1.3033999999999999</v>
      </c>
      <c r="H42">
        <f t="shared" si="16"/>
        <v>-9.6600000000000019E-2</v>
      </c>
      <c r="I42" s="4">
        <f t="shared" si="17"/>
        <v>-1834.3764358153132</v>
      </c>
      <c r="J42" s="6">
        <f t="shared" si="18"/>
        <v>1.7470251769669649</v>
      </c>
      <c r="K42" s="6">
        <f t="shared" si="19"/>
        <v>1.247875126404975</v>
      </c>
      <c r="L42" s="7">
        <v>6.9</v>
      </c>
      <c r="M42" s="6">
        <f t="shared" si="20"/>
        <v>0.89133937600355362</v>
      </c>
      <c r="N42" s="7"/>
    </row>
    <row r="43" spans="1:14" x14ac:dyDescent="0.25">
      <c r="A43" t="s">
        <v>19</v>
      </c>
      <c r="B43" s="4">
        <f>$B$3/B42</f>
        <v>2.7535135610875244E-5</v>
      </c>
      <c r="C43" t="s">
        <v>21</v>
      </c>
      <c r="E43" s="2">
        <v>4</v>
      </c>
      <c r="F43" s="2">
        <v>1.6</v>
      </c>
      <c r="G43" s="2">
        <f t="shared" si="15"/>
        <v>1.4752000000000001</v>
      </c>
      <c r="H43">
        <f t="shared" si="16"/>
        <v>-0.12480000000000002</v>
      </c>
      <c r="I43" s="4">
        <f t="shared" si="17"/>
        <v>-2369.8776313638828</v>
      </c>
      <c r="J43" s="6">
        <f t="shared" si="18"/>
        <v>2.2570263155846502</v>
      </c>
      <c r="K43" s="6">
        <f t="shared" si="19"/>
        <v>1.4106414472404063</v>
      </c>
      <c r="L43" s="7">
        <v>7.8</v>
      </c>
      <c r="M43" s="6">
        <f t="shared" si="20"/>
        <v>0.88165090452525385</v>
      </c>
      <c r="N43" s="7"/>
    </row>
    <row r="44" spans="1:14" x14ac:dyDescent="0.25">
      <c r="E44" s="2">
        <v>5</v>
      </c>
      <c r="F44" s="2">
        <v>1.8</v>
      </c>
      <c r="G44" s="2">
        <f t="shared" si="15"/>
        <v>1.6434000000000002</v>
      </c>
      <c r="H44">
        <f t="shared" si="16"/>
        <v>-0.15659999999999985</v>
      </c>
      <c r="I44" s="4">
        <f t="shared" si="17"/>
        <v>-2973.7406816633302</v>
      </c>
      <c r="J44" s="6">
        <f t="shared" si="18"/>
        <v>2.8321339825365048</v>
      </c>
      <c r="K44" s="6">
        <f t="shared" si="19"/>
        <v>1.573407768075836</v>
      </c>
      <c r="L44" s="7">
        <v>8.6999999999999993</v>
      </c>
      <c r="M44" s="6">
        <f t="shared" si="20"/>
        <v>0.87411542670879772</v>
      </c>
      <c r="N44" s="7"/>
    </row>
    <row r="45" spans="1:14" x14ac:dyDescent="0.25">
      <c r="E45" s="2"/>
      <c r="F45" s="2"/>
      <c r="G45" s="2"/>
      <c r="H45" s="2"/>
      <c r="I45" s="2"/>
      <c r="K45" s="4"/>
      <c r="L45" s="6"/>
      <c r="M45" s="6"/>
      <c r="N45" s="7"/>
    </row>
    <row r="46" spans="1:14" x14ac:dyDescent="0.25">
      <c r="N46" s="4"/>
    </row>
    <row r="49" spans="1:4" x14ac:dyDescent="0.25">
      <c r="A49" t="s">
        <v>31</v>
      </c>
      <c r="B49" t="s">
        <v>25</v>
      </c>
      <c r="C49" t="s">
        <v>26</v>
      </c>
      <c r="D49" s="5" t="s">
        <v>27</v>
      </c>
    </row>
    <row r="50" spans="1:4" x14ac:dyDescent="0.25">
      <c r="A50">
        <v>450</v>
      </c>
      <c r="B50" s="6">
        <f xml:space="preserve"> $M$13</f>
        <v>1.211704832885989</v>
      </c>
      <c r="C50" s="6">
        <f>LN(B50)</f>
        <v>0.19202832076433624</v>
      </c>
      <c r="D50">
        <f>-1/A50</f>
        <v>-2.2222222222222222E-3</v>
      </c>
    </row>
    <row r="51" spans="1:4" x14ac:dyDescent="0.25">
      <c r="A51">
        <v>480</v>
      </c>
      <c r="B51" s="6">
        <v>0.59</v>
      </c>
      <c r="C51" s="6">
        <f t="shared" ref="C51:C52" si="21">LN(B51)</f>
        <v>-0.52763274208237199</v>
      </c>
      <c r="D51">
        <f t="shared" ref="D51:D52" si="22">-1/A51</f>
        <v>-2.0833333333333333E-3</v>
      </c>
    </row>
    <row r="52" spans="1:4" x14ac:dyDescent="0.25">
      <c r="A52">
        <v>510</v>
      </c>
      <c r="B52" s="6">
        <v>0.8</v>
      </c>
      <c r="C52" s="6">
        <f t="shared" si="21"/>
        <v>-0.22314355131420971</v>
      </c>
      <c r="D52">
        <f t="shared" si="22"/>
        <v>-1.9607843137254902E-3</v>
      </c>
    </row>
    <row r="56" spans="1:4" x14ac:dyDescent="0.25">
      <c r="A56" t="s">
        <v>28</v>
      </c>
      <c r="B56" s="6">
        <v>3457.9</v>
      </c>
      <c r="D56">
        <f xml:space="preserve"> B56*8.314</f>
        <v>28748.980600000003</v>
      </c>
    </row>
    <row r="57" spans="1:4" x14ac:dyDescent="0.25">
      <c r="A57" t="s">
        <v>29</v>
      </c>
      <c r="B57" s="6">
        <v>6.5983999999999998</v>
      </c>
    </row>
    <row r="58" spans="1:4" x14ac:dyDescent="0.25">
      <c r="A58" t="s">
        <v>30</v>
      </c>
      <c r="B58" s="4">
        <f>EXP(B57)</f>
        <v>733.91997735940356</v>
      </c>
    </row>
    <row r="78" spans="2:2" x14ac:dyDescent="0.25">
      <c r="B78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36F4D-CDEA-4000-872D-AF4AB51AB1D8}">
  <dimension ref="A1:N78"/>
  <sheetViews>
    <sheetView topLeftCell="F2" zoomScale="109" zoomScaleNormal="120" workbookViewId="0">
      <selection activeCell="R41" sqref="R41"/>
    </sheetView>
  </sheetViews>
  <sheetFormatPr defaultRowHeight="15" x14ac:dyDescent="0.25"/>
  <cols>
    <col min="1" max="1" width="52" bestFit="1" customWidth="1"/>
    <col min="2" max="2" width="10.7109375" bestFit="1" customWidth="1"/>
    <col min="14" max="14" width="10.28515625" bestFit="1" customWidth="1"/>
  </cols>
  <sheetData>
    <row r="1" spans="1:14" x14ac:dyDescent="0.25">
      <c r="A1" s="1"/>
      <c r="B1" s="1"/>
      <c r="C1" s="1"/>
      <c r="D1" s="1"/>
      <c r="E1" s="1"/>
      <c r="F1" s="1"/>
    </row>
    <row r="2" spans="1:14" x14ac:dyDescent="0.25">
      <c r="A2" s="3" t="s">
        <v>14</v>
      </c>
      <c r="B2" s="4">
        <v>3.0000000000000001E-6</v>
      </c>
      <c r="C2" t="s">
        <v>15</v>
      </c>
      <c r="D2" s="1"/>
      <c r="E2" s="1"/>
      <c r="F2" s="1"/>
    </row>
    <row r="3" spans="1:14" x14ac:dyDescent="0.25">
      <c r="A3" s="3" t="s">
        <v>16</v>
      </c>
      <c r="B3" s="4">
        <v>1.18E-7</v>
      </c>
      <c r="C3" t="s">
        <v>17</v>
      </c>
      <c r="D3" s="1"/>
      <c r="E3" s="1"/>
      <c r="F3" s="1"/>
    </row>
    <row r="4" spans="1:14" x14ac:dyDescent="0.25">
      <c r="A4" s="3" t="s">
        <v>32</v>
      </c>
      <c r="B4" s="4">
        <v>0.4</v>
      </c>
      <c r="D4" s="1"/>
      <c r="E4" s="1"/>
      <c r="F4" s="1"/>
    </row>
    <row r="6" spans="1:14" x14ac:dyDescent="0.25">
      <c r="A6" t="s">
        <v>3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22</v>
      </c>
      <c r="K6" s="1" t="s">
        <v>23</v>
      </c>
      <c r="L6" s="1" t="s">
        <v>2</v>
      </c>
      <c r="M6" s="1" t="s">
        <v>24</v>
      </c>
      <c r="N6" s="1" t="s">
        <v>1</v>
      </c>
    </row>
    <row r="7" spans="1:14" x14ac:dyDescent="0.25">
      <c r="A7" t="s">
        <v>4</v>
      </c>
      <c r="B7">
        <v>220</v>
      </c>
      <c r="C7" t="s">
        <v>10</v>
      </c>
      <c r="E7" s="2">
        <v>1</v>
      </c>
      <c r="F7" s="2">
        <v>0.75</v>
      </c>
      <c r="G7" s="2">
        <v>0</v>
      </c>
      <c r="H7" s="2">
        <v>0.72799999999999998</v>
      </c>
      <c r="I7" s="2">
        <v>2.1999999999999999E-2</v>
      </c>
      <c r="J7">
        <f>H7-F7</f>
        <v>-2.200000000000002E-2</v>
      </c>
      <c r="K7" s="4">
        <f>J7/$B$10</f>
        <v>-0.92560288931862222</v>
      </c>
      <c r="L7" s="6">
        <f>-K7/(1-$B$4)</f>
        <v>1.5426714821977037</v>
      </c>
      <c r="M7" s="6">
        <f>L7/F7</f>
        <v>2.0568953095969382</v>
      </c>
      <c r="N7" s="7">
        <f>(F7-H7)/F7*100</f>
        <v>2.9333333333333362</v>
      </c>
    </row>
    <row r="8" spans="1:14" x14ac:dyDescent="0.25">
      <c r="B8">
        <f>B7+273.15</f>
        <v>493.15</v>
      </c>
      <c r="C8" t="s">
        <v>0</v>
      </c>
      <c r="E8" s="2">
        <v>2</v>
      </c>
      <c r="F8" s="2">
        <v>1</v>
      </c>
      <c r="G8" s="2">
        <v>0</v>
      </c>
      <c r="H8" s="2">
        <v>0.97</v>
      </c>
      <c r="I8" s="2">
        <v>2.9000000000000001E-2</v>
      </c>
      <c r="J8">
        <f t="shared" ref="J8:J11" si="0">H8-F8</f>
        <v>-3.0000000000000027E-2</v>
      </c>
      <c r="K8" s="4">
        <f t="shared" ref="K8:K11" si="1">J8/$B$10</f>
        <v>-1.2621857581617575</v>
      </c>
      <c r="L8" s="6">
        <f t="shared" ref="L8:L11" si="2">-K8/(1-$B$4)</f>
        <v>2.1036429302695958</v>
      </c>
      <c r="M8" s="6">
        <f t="shared" ref="M8:M11" si="3">L8/F8</f>
        <v>2.1036429302695958</v>
      </c>
      <c r="N8" s="7">
        <f t="shared" ref="N8:N11" si="4">(F8-H8)/F8*100</f>
        <v>3.0000000000000027</v>
      </c>
    </row>
    <row r="9" spans="1:14" x14ac:dyDescent="0.25">
      <c r="A9" t="s">
        <v>18</v>
      </c>
      <c r="B9" s="4">
        <f>$B$2*B8/298</f>
        <v>4.9645973154362418E-6</v>
      </c>
      <c r="C9" t="s">
        <v>20</v>
      </c>
      <c r="E9" s="2">
        <v>3</v>
      </c>
      <c r="F9" s="2">
        <v>1.25</v>
      </c>
      <c r="G9" s="2">
        <v>0</v>
      </c>
      <c r="H9" s="2">
        <v>1.214</v>
      </c>
      <c r="I9" s="2">
        <v>3.5999999999999997E-2</v>
      </c>
      <c r="J9">
        <f t="shared" si="0"/>
        <v>-3.6000000000000032E-2</v>
      </c>
      <c r="K9" s="4">
        <f t="shared" si="1"/>
        <v>-1.5146229097941091</v>
      </c>
      <c r="L9" s="6">
        <f t="shared" si="2"/>
        <v>2.5243715163235154</v>
      </c>
      <c r="M9" s="6">
        <f t="shared" si="3"/>
        <v>2.0194972130588122</v>
      </c>
      <c r="N9" s="7">
        <f t="shared" si="4"/>
        <v>2.8800000000000026</v>
      </c>
    </row>
    <row r="10" spans="1:14" x14ac:dyDescent="0.25">
      <c r="A10" t="s">
        <v>19</v>
      </c>
      <c r="B10" s="4">
        <f>$B$3/B9</f>
        <v>2.3768292270776301E-2</v>
      </c>
      <c r="C10" t="s">
        <v>21</v>
      </c>
      <c r="E10" s="2">
        <v>4</v>
      </c>
      <c r="F10" s="2">
        <v>1.5</v>
      </c>
      <c r="G10" s="2">
        <v>0</v>
      </c>
      <c r="H10" s="2">
        <v>1.456</v>
      </c>
      <c r="I10" s="2">
        <v>4.3999999999999997E-2</v>
      </c>
      <c r="J10">
        <f t="shared" si="0"/>
        <v>-4.4000000000000039E-2</v>
      </c>
      <c r="K10" s="4">
        <f t="shared" si="1"/>
        <v>-1.8512057786372444</v>
      </c>
      <c r="L10" s="6">
        <f t="shared" si="2"/>
        <v>3.0853429643954073</v>
      </c>
      <c r="M10" s="6">
        <f t="shared" si="3"/>
        <v>2.0568953095969382</v>
      </c>
      <c r="N10" s="7">
        <f t="shared" si="4"/>
        <v>2.9333333333333362</v>
      </c>
    </row>
    <row r="11" spans="1:14" x14ac:dyDescent="0.25">
      <c r="E11" s="2">
        <v>5</v>
      </c>
      <c r="F11" s="2">
        <v>1.75</v>
      </c>
      <c r="G11" s="2">
        <v>0</v>
      </c>
      <c r="H11" s="2">
        <v>1.6990000000000001</v>
      </c>
      <c r="I11" s="2">
        <v>5.0999999999999997E-2</v>
      </c>
      <c r="J11">
        <f t="shared" si="0"/>
        <v>-5.0999999999999934E-2</v>
      </c>
      <c r="K11" s="4">
        <f t="shared" si="1"/>
        <v>-2.1457157888749832</v>
      </c>
      <c r="L11" s="6">
        <f t="shared" si="2"/>
        <v>3.5761929814583056</v>
      </c>
      <c r="M11" s="6">
        <f t="shared" si="3"/>
        <v>2.043538846547603</v>
      </c>
      <c r="N11" s="7">
        <f t="shared" si="4"/>
        <v>2.9142857142857106</v>
      </c>
    </row>
    <row r="12" spans="1:14" x14ac:dyDescent="0.25">
      <c r="L12" s="6"/>
      <c r="M12" s="6"/>
      <c r="N12" s="4"/>
    </row>
    <row r="13" spans="1:14" x14ac:dyDescent="0.25">
      <c r="L13" s="6"/>
      <c r="M13" s="6"/>
    </row>
    <row r="14" spans="1:14" x14ac:dyDescent="0.25">
      <c r="A14" t="s">
        <v>11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J14" s="1" t="s">
        <v>22</v>
      </c>
      <c r="K14" s="1" t="s">
        <v>23</v>
      </c>
      <c r="L14" s="8" t="s">
        <v>2</v>
      </c>
      <c r="M14" s="8" t="s">
        <v>24</v>
      </c>
      <c r="N14" s="1" t="s">
        <v>1</v>
      </c>
    </row>
    <row r="15" spans="1:14" x14ac:dyDescent="0.25">
      <c r="A15" t="s">
        <v>4</v>
      </c>
      <c r="B15">
        <v>240</v>
      </c>
      <c r="C15" t="s">
        <v>10</v>
      </c>
      <c r="E15" s="2">
        <v>1</v>
      </c>
      <c r="F15" s="2">
        <v>0.75</v>
      </c>
      <c r="G15" s="2">
        <v>0</v>
      </c>
      <c r="H15" s="2">
        <v>0.71299999999999997</v>
      </c>
      <c r="I15" s="2">
        <v>3.7999999999999999E-2</v>
      </c>
      <c r="J15">
        <f>H15-F15</f>
        <v>-3.7000000000000033E-2</v>
      </c>
      <c r="K15" s="4">
        <f>J15/$B$18</f>
        <v>-1.6198285178022993</v>
      </c>
      <c r="L15" s="6">
        <f>-K15/(1-$B$4)</f>
        <v>2.6997141963371658</v>
      </c>
      <c r="M15" s="6">
        <f>L15/F15</f>
        <v>3.5996189284495546</v>
      </c>
      <c r="N15" s="7">
        <f>(F15-H15)/F15*100</f>
        <v>4.9333333333333371</v>
      </c>
    </row>
    <row r="16" spans="1:14" x14ac:dyDescent="0.25">
      <c r="B16">
        <f>B15+273.15</f>
        <v>513.15</v>
      </c>
      <c r="C16" t="s">
        <v>0</v>
      </c>
      <c r="E16" s="2">
        <v>2</v>
      </c>
      <c r="F16" s="2">
        <v>1</v>
      </c>
      <c r="G16" s="2">
        <v>0</v>
      </c>
      <c r="H16" s="2">
        <v>0.95</v>
      </c>
      <c r="I16" s="2">
        <v>0.05</v>
      </c>
      <c r="J16">
        <f t="shared" ref="J16:J19" si="5">H16-F16</f>
        <v>-5.0000000000000044E-2</v>
      </c>
      <c r="K16" s="4">
        <f t="shared" ref="K16:K19" si="6">J16/$B$18</f>
        <v>-2.1889574564895935</v>
      </c>
      <c r="L16" s="6">
        <f t="shared" ref="L16:L19" si="7">-K16/(1-$B$4)</f>
        <v>3.6482624274826558</v>
      </c>
      <c r="M16" s="6">
        <f t="shared" ref="M16:M19" si="8">L16/F16</f>
        <v>3.6482624274826558</v>
      </c>
      <c r="N16" s="7">
        <f t="shared" ref="N16:N19" si="9">(F16-H16)/F16*100</f>
        <v>5.0000000000000044</v>
      </c>
    </row>
    <row r="17" spans="1:14" x14ac:dyDescent="0.25">
      <c r="A17" t="s">
        <v>18</v>
      </c>
      <c r="B17" s="4">
        <f>$B$2*B16/298</f>
        <v>5.1659395973154363E-6</v>
      </c>
      <c r="C17" t="s">
        <v>20</v>
      </c>
      <c r="E17" s="2">
        <v>3</v>
      </c>
      <c r="F17" s="2">
        <v>1.25</v>
      </c>
      <c r="G17" s="2">
        <v>0</v>
      </c>
      <c r="H17" s="2">
        <v>1.1879999999999999</v>
      </c>
      <c r="I17" s="2">
        <v>6.2E-2</v>
      </c>
      <c r="J17">
        <f t="shared" si="5"/>
        <v>-6.2000000000000055E-2</v>
      </c>
      <c r="K17" s="4">
        <f t="shared" si="6"/>
        <v>-2.7143072460470963</v>
      </c>
      <c r="L17" s="6">
        <f t="shared" si="7"/>
        <v>4.5238454100784944</v>
      </c>
      <c r="M17" s="6">
        <f t="shared" si="8"/>
        <v>3.6190763280627953</v>
      </c>
      <c r="N17" s="7">
        <f t="shared" si="9"/>
        <v>4.9600000000000044</v>
      </c>
    </row>
    <row r="18" spans="1:14" x14ac:dyDescent="0.25">
      <c r="A18" t="s">
        <v>19</v>
      </c>
      <c r="B18" s="4">
        <f>$B$3/B17</f>
        <v>2.2841924063789015E-2</v>
      </c>
      <c r="C18" t="s">
        <v>21</v>
      </c>
      <c r="E18" s="2">
        <v>4</v>
      </c>
      <c r="F18" s="2">
        <v>1.5</v>
      </c>
      <c r="G18" s="2">
        <v>0</v>
      </c>
      <c r="H18" s="2">
        <v>1.425</v>
      </c>
      <c r="I18" s="2">
        <v>7.4999999999999997E-2</v>
      </c>
      <c r="J18">
        <f t="shared" si="5"/>
        <v>-7.4999999999999956E-2</v>
      </c>
      <c r="K18" s="4">
        <f t="shared" si="6"/>
        <v>-3.2834361847343856</v>
      </c>
      <c r="L18" s="6">
        <f t="shared" si="7"/>
        <v>5.4723936412239764</v>
      </c>
      <c r="M18" s="6">
        <f t="shared" si="8"/>
        <v>3.6482624274826509</v>
      </c>
      <c r="N18" s="7">
        <f t="shared" si="9"/>
        <v>4.9999999999999964</v>
      </c>
    </row>
    <row r="19" spans="1:14" x14ac:dyDescent="0.25">
      <c r="E19" s="2">
        <v>5</v>
      </c>
      <c r="F19" s="2">
        <v>1.75</v>
      </c>
      <c r="G19" s="2">
        <v>0</v>
      </c>
      <c r="H19" s="2">
        <v>1.663</v>
      </c>
      <c r="I19" s="2">
        <v>8.6999999999999994E-2</v>
      </c>
      <c r="J19">
        <f t="shared" si="5"/>
        <v>-8.6999999999999966E-2</v>
      </c>
      <c r="K19" s="4">
        <f t="shared" si="6"/>
        <v>-3.8087859742918879</v>
      </c>
      <c r="L19" s="6">
        <f t="shared" si="7"/>
        <v>6.3479766238198136</v>
      </c>
      <c r="M19" s="6">
        <f t="shared" si="8"/>
        <v>3.627415213611322</v>
      </c>
      <c r="N19" s="7">
        <f t="shared" si="9"/>
        <v>4.9714285714285698</v>
      </c>
    </row>
    <row r="20" spans="1:14" x14ac:dyDescent="0.25">
      <c r="L20" s="6"/>
      <c r="M20" s="6"/>
      <c r="N20" s="4"/>
    </row>
    <row r="21" spans="1:14" x14ac:dyDescent="0.25">
      <c r="L21" s="6"/>
      <c r="M21" s="6"/>
    </row>
    <row r="22" spans="1:14" x14ac:dyDescent="0.25">
      <c r="A22" t="s">
        <v>12</v>
      </c>
      <c r="E22" s="1" t="s">
        <v>5</v>
      </c>
      <c r="F22" s="1" t="s">
        <v>6</v>
      </c>
      <c r="G22" s="1" t="s">
        <v>7</v>
      </c>
      <c r="H22" s="1" t="s">
        <v>8</v>
      </c>
      <c r="I22" s="1" t="s">
        <v>9</v>
      </c>
      <c r="J22" s="1" t="s">
        <v>22</v>
      </c>
      <c r="K22" s="1" t="s">
        <v>23</v>
      </c>
      <c r="L22" s="8" t="s">
        <v>2</v>
      </c>
      <c r="M22" s="8" t="s">
        <v>24</v>
      </c>
      <c r="N22" s="1" t="s">
        <v>1</v>
      </c>
    </row>
    <row r="23" spans="1:14" x14ac:dyDescent="0.25">
      <c r="A23" t="s">
        <v>4</v>
      </c>
      <c r="B23">
        <v>240</v>
      </c>
      <c r="C23" t="s">
        <v>10</v>
      </c>
      <c r="E23" s="2">
        <v>1</v>
      </c>
      <c r="F23" s="2">
        <v>1</v>
      </c>
      <c r="G23" s="2">
        <v>0.25</v>
      </c>
      <c r="H23" s="2">
        <v>0.95</v>
      </c>
      <c r="I23" s="2">
        <v>0.3</v>
      </c>
      <c r="J23">
        <f>H23-F23</f>
        <v>-5.0000000000000044E-2</v>
      </c>
      <c r="K23" s="4">
        <f>J23/$B$26</f>
        <v>-2.1889574564895935</v>
      </c>
      <c r="L23" s="6">
        <f>-K23/(1-$B$4)</f>
        <v>3.6482624274826558</v>
      </c>
      <c r="M23" s="6">
        <f>L23/F23</f>
        <v>3.6482624274826558</v>
      </c>
      <c r="N23">
        <f>(F23-H23)/F23*100</f>
        <v>5.0000000000000044</v>
      </c>
    </row>
    <row r="24" spans="1:14" x14ac:dyDescent="0.25">
      <c r="B24">
        <f>B23+273.15</f>
        <v>513.15</v>
      </c>
      <c r="C24" t="s">
        <v>0</v>
      </c>
      <c r="E24" s="2">
        <v>2</v>
      </c>
      <c r="F24" s="2">
        <v>1</v>
      </c>
      <c r="G24" s="2">
        <v>0.5</v>
      </c>
      <c r="H24" s="2">
        <v>0.95</v>
      </c>
      <c r="I24" s="2">
        <v>0.55000000000000004</v>
      </c>
      <c r="J24">
        <f t="shared" ref="J24:J27" si="10">H24-F24</f>
        <v>-5.0000000000000044E-2</v>
      </c>
      <c r="K24" s="4">
        <f t="shared" ref="K24:K27" si="11">J24/$B$26</f>
        <v>-2.1889574564895935</v>
      </c>
      <c r="L24" s="6">
        <f t="shared" ref="L24:L27" si="12">-K24/(1-$B$4)</f>
        <v>3.6482624274826558</v>
      </c>
      <c r="M24" s="6">
        <f t="shared" ref="M24:M27" si="13">L24/F24</f>
        <v>3.6482624274826558</v>
      </c>
      <c r="N24">
        <f t="shared" ref="N24:N27" si="14">(F24-H24)/F24*100</f>
        <v>5.0000000000000044</v>
      </c>
    </row>
    <row r="25" spans="1:14" x14ac:dyDescent="0.25">
      <c r="A25" t="s">
        <v>18</v>
      </c>
      <c r="B25" s="4">
        <f>$B$2*B24/298</f>
        <v>5.1659395973154363E-6</v>
      </c>
      <c r="C25" t="s">
        <v>20</v>
      </c>
      <c r="E25" s="2">
        <v>3</v>
      </c>
      <c r="F25" s="2">
        <v>1</v>
      </c>
      <c r="G25" s="2">
        <v>0.75</v>
      </c>
      <c r="H25" s="2">
        <v>0.95</v>
      </c>
      <c r="I25" s="2">
        <v>0.8</v>
      </c>
      <c r="J25">
        <f t="shared" si="10"/>
        <v>-5.0000000000000044E-2</v>
      </c>
      <c r="K25" s="4">
        <f t="shared" si="11"/>
        <v>-2.1889574564895935</v>
      </c>
      <c r="L25" s="6">
        <f t="shared" si="12"/>
        <v>3.6482624274826558</v>
      </c>
      <c r="M25" s="6">
        <f t="shared" si="13"/>
        <v>3.6482624274826558</v>
      </c>
      <c r="N25">
        <f t="shared" si="14"/>
        <v>5.0000000000000044</v>
      </c>
    </row>
    <row r="26" spans="1:14" x14ac:dyDescent="0.25">
      <c r="A26" t="s">
        <v>19</v>
      </c>
      <c r="B26" s="4">
        <f>$B$3/B25</f>
        <v>2.2841924063789015E-2</v>
      </c>
      <c r="C26" t="s">
        <v>21</v>
      </c>
      <c r="E26" s="2">
        <v>4</v>
      </c>
      <c r="F26" s="2">
        <v>1</v>
      </c>
      <c r="G26" s="2">
        <v>1</v>
      </c>
      <c r="H26" s="2">
        <v>0.95</v>
      </c>
      <c r="I26" s="2">
        <v>1.05</v>
      </c>
      <c r="J26">
        <f t="shared" si="10"/>
        <v>-5.0000000000000044E-2</v>
      </c>
      <c r="K26" s="4">
        <f t="shared" si="11"/>
        <v>-2.1889574564895935</v>
      </c>
      <c r="L26" s="6">
        <f t="shared" si="12"/>
        <v>3.6482624274826558</v>
      </c>
      <c r="M26" s="6">
        <f t="shared" si="13"/>
        <v>3.6482624274826558</v>
      </c>
      <c r="N26">
        <f t="shared" si="14"/>
        <v>5.0000000000000044</v>
      </c>
    </row>
    <row r="27" spans="1:14" x14ac:dyDescent="0.25">
      <c r="E27" s="2">
        <v>5</v>
      </c>
      <c r="F27" s="2">
        <v>1</v>
      </c>
      <c r="G27" s="2">
        <v>1.25</v>
      </c>
      <c r="H27" s="2">
        <v>0.95</v>
      </c>
      <c r="I27" s="2">
        <v>1.3</v>
      </c>
      <c r="J27">
        <f t="shared" si="10"/>
        <v>-5.0000000000000044E-2</v>
      </c>
      <c r="K27" s="4">
        <f t="shared" si="11"/>
        <v>-2.1889574564895935</v>
      </c>
      <c r="L27" s="6">
        <f t="shared" si="12"/>
        <v>3.6482624274826558</v>
      </c>
      <c r="M27" s="6">
        <f t="shared" si="13"/>
        <v>3.6482624274826558</v>
      </c>
      <c r="N27">
        <f t="shared" si="14"/>
        <v>5.0000000000000044</v>
      </c>
    </row>
    <row r="28" spans="1:14" x14ac:dyDescent="0.25">
      <c r="L28" s="6"/>
      <c r="M28" s="6"/>
      <c r="N28" s="4"/>
    </row>
    <row r="29" spans="1:14" x14ac:dyDescent="0.25">
      <c r="L29" s="6"/>
      <c r="M29" s="6"/>
    </row>
    <row r="30" spans="1:14" x14ac:dyDescent="0.25">
      <c r="A30" t="s">
        <v>13</v>
      </c>
      <c r="E30" s="1" t="s">
        <v>5</v>
      </c>
      <c r="F30" s="1" t="s">
        <v>6</v>
      </c>
      <c r="G30" s="1" t="s">
        <v>7</v>
      </c>
      <c r="H30" s="1" t="s">
        <v>8</v>
      </c>
      <c r="I30" s="1" t="s">
        <v>9</v>
      </c>
      <c r="J30" s="1" t="s">
        <v>22</v>
      </c>
      <c r="K30" s="1" t="s">
        <v>23</v>
      </c>
      <c r="L30" s="8" t="s">
        <v>2</v>
      </c>
      <c r="M30" s="8" t="s">
        <v>24</v>
      </c>
      <c r="N30" s="1" t="s">
        <v>1</v>
      </c>
    </row>
    <row r="31" spans="1:14" x14ac:dyDescent="0.25">
      <c r="A31" t="s">
        <v>4</v>
      </c>
      <c r="B31">
        <v>260</v>
      </c>
      <c r="C31" t="s">
        <v>10</v>
      </c>
      <c r="E31" s="2">
        <v>1</v>
      </c>
      <c r="F31" s="2">
        <v>0.75</v>
      </c>
      <c r="G31" s="2">
        <v>0</v>
      </c>
      <c r="H31" s="2">
        <v>0.68899999999999995</v>
      </c>
      <c r="I31" s="2">
        <v>6.0999999999999999E-2</v>
      </c>
      <c r="J31">
        <f>H31-F31</f>
        <v>-6.1000000000000054E-2</v>
      </c>
      <c r="K31" s="4">
        <f>J31/$B$34</f>
        <v>-2.7746118189057016</v>
      </c>
      <c r="L31" s="6">
        <f>-K31/(1-$B$4)</f>
        <v>4.6243530315095027</v>
      </c>
      <c r="M31" s="6">
        <f>L31/F31</f>
        <v>6.1658040420126703</v>
      </c>
      <c r="N31" s="7">
        <f>(F31-H31)/F31*100</f>
        <v>8.1333333333333417</v>
      </c>
    </row>
    <row r="32" spans="1:14" x14ac:dyDescent="0.25">
      <c r="B32">
        <f>B31+273.15</f>
        <v>533.15</v>
      </c>
      <c r="C32" t="s">
        <v>0</v>
      </c>
      <c r="E32" s="2">
        <v>2</v>
      </c>
      <c r="F32" s="2">
        <v>1</v>
      </c>
      <c r="G32" s="2">
        <v>0</v>
      </c>
      <c r="H32" s="2">
        <v>0.91800000000000004</v>
      </c>
      <c r="I32" s="2">
        <v>8.2000000000000003E-2</v>
      </c>
      <c r="J32">
        <f t="shared" ref="J32:J35" si="15">H32-F32</f>
        <v>-8.1999999999999962E-2</v>
      </c>
      <c r="K32" s="4">
        <f t="shared" ref="K32:K35" si="16">J32/$B$34</f>
        <v>-3.7298060516437248</v>
      </c>
      <c r="L32" s="6">
        <f t="shared" ref="L32:L35" si="17">-K32/(1-$B$4)</f>
        <v>6.2163434194062086</v>
      </c>
      <c r="M32" s="6">
        <f t="shared" ref="M32:M35" si="18">L32/F32</f>
        <v>6.2163434194062086</v>
      </c>
      <c r="N32" s="7">
        <f t="shared" ref="N32:N35" si="19">(F32-H32)/F32*100</f>
        <v>8.1999999999999957</v>
      </c>
    </row>
    <row r="33" spans="1:14" x14ac:dyDescent="0.25">
      <c r="A33" t="s">
        <v>18</v>
      </c>
      <c r="B33" s="4">
        <f>$B$2*B32/298</f>
        <v>5.3672818791946307E-6</v>
      </c>
      <c r="C33" t="s">
        <v>20</v>
      </c>
      <c r="E33" s="2">
        <v>3</v>
      </c>
      <c r="F33" s="2">
        <v>1.25</v>
      </c>
      <c r="G33" s="2">
        <v>0</v>
      </c>
      <c r="H33" s="2">
        <v>1.1479999999999999</v>
      </c>
      <c r="I33" s="2">
        <v>0.10199999999999999</v>
      </c>
      <c r="J33">
        <f t="shared" si="15"/>
        <v>-0.10200000000000009</v>
      </c>
      <c r="K33" s="4">
        <f t="shared" si="16"/>
        <v>-4.6395148447275663</v>
      </c>
      <c r="L33" s="6">
        <f t="shared" si="17"/>
        <v>7.732524741212611</v>
      </c>
      <c r="M33" s="6">
        <f t="shared" si="18"/>
        <v>6.1860197929700886</v>
      </c>
      <c r="N33" s="7">
        <f t="shared" si="19"/>
        <v>8.1600000000000072</v>
      </c>
    </row>
    <row r="34" spans="1:14" x14ac:dyDescent="0.25">
      <c r="A34" t="s">
        <v>19</v>
      </c>
      <c r="B34" s="4">
        <f>$B$3/B33</f>
        <v>2.1985057363468691E-2</v>
      </c>
      <c r="C34" t="s">
        <v>21</v>
      </c>
      <c r="E34" s="2">
        <v>4</v>
      </c>
      <c r="F34" s="2">
        <v>1.5</v>
      </c>
      <c r="G34" s="2">
        <v>0</v>
      </c>
      <c r="H34" s="2">
        <v>1.377</v>
      </c>
      <c r="I34" s="2">
        <v>0.123</v>
      </c>
      <c r="J34">
        <f t="shared" si="15"/>
        <v>-0.123</v>
      </c>
      <c r="K34" s="4">
        <f t="shared" si="16"/>
        <v>-5.5947090774655903</v>
      </c>
      <c r="L34" s="6">
        <f t="shared" si="17"/>
        <v>9.3245151291093169</v>
      </c>
      <c r="M34" s="6">
        <f t="shared" si="18"/>
        <v>6.2163434194062113</v>
      </c>
      <c r="N34" s="7">
        <f t="shared" si="19"/>
        <v>8.2000000000000011</v>
      </c>
    </row>
    <row r="35" spans="1:14" x14ac:dyDescent="0.25">
      <c r="E35" s="2">
        <v>5</v>
      </c>
      <c r="F35" s="2">
        <v>1.75</v>
      </c>
      <c r="G35" s="2">
        <v>0</v>
      </c>
      <c r="H35" s="2">
        <v>1.607</v>
      </c>
      <c r="I35" s="2">
        <v>0.14299999999999999</v>
      </c>
      <c r="J35">
        <f t="shared" si="15"/>
        <v>-0.14300000000000002</v>
      </c>
      <c r="K35" s="4">
        <f t="shared" si="16"/>
        <v>-6.5044178705494264</v>
      </c>
      <c r="L35" s="6">
        <f t="shared" si="17"/>
        <v>10.840696450915711</v>
      </c>
      <c r="M35" s="6">
        <f t="shared" si="18"/>
        <v>6.1946836862375489</v>
      </c>
      <c r="N35" s="7">
        <f t="shared" si="19"/>
        <v>8.1714285714285726</v>
      </c>
    </row>
    <row r="36" spans="1:14" x14ac:dyDescent="0.25">
      <c r="N36" s="4"/>
    </row>
    <row r="39" spans="1:14" x14ac:dyDescent="0.25">
      <c r="A39" t="s">
        <v>31</v>
      </c>
      <c r="B39" t="s">
        <v>25</v>
      </c>
      <c r="C39" t="s">
        <v>26</v>
      </c>
      <c r="D39" s="5" t="s">
        <v>27</v>
      </c>
    </row>
    <row r="40" spans="1:14" x14ac:dyDescent="0.25">
      <c r="A40">
        <v>493.15</v>
      </c>
      <c r="B40" s="6">
        <v>2.093</v>
      </c>
      <c r="C40" s="6">
        <f>LN(B40)</f>
        <v>0.73859844346386272</v>
      </c>
      <c r="D40">
        <f>-1/A40</f>
        <v>-2.0277805941397143E-3</v>
      </c>
    </row>
    <row r="41" spans="1:14" x14ac:dyDescent="0.25">
      <c r="A41">
        <v>513.15</v>
      </c>
      <c r="B41" s="6">
        <v>3.7208000000000001</v>
      </c>
      <c r="C41" s="6">
        <f t="shared" ref="C41:C42" si="20">LN(B41)</f>
        <v>1.3139386989277502</v>
      </c>
      <c r="D41">
        <f t="shared" ref="D41:D42" si="21">-1/A41</f>
        <v>-1.948747929455325E-3</v>
      </c>
    </row>
    <row r="42" spans="1:14" x14ac:dyDescent="0.25">
      <c r="A42">
        <v>533.15</v>
      </c>
      <c r="B42" s="6">
        <v>6.4627999999999997</v>
      </c>
      <c r="C42" s="6">
        <f t="shared" si="20"/>
        <v>1.8660626604205384</v>
      </c>
      <c r="D42">
        <f t="shared" si="21"/>
        <v>-1.8756447528838038E-3</v>
      </c>
    </row>
    <row r="46" spans="1:14" x14ac:dyDescent="0.25">
      <c r="A46" t="s">
        <v>28</v>
      </c>
      <c r="B46" s="6">
        <v>7409.1</v>
      </c>
    </row>
    <row r="47" spans="1:14" x14ac:dyDescent="0.25">
      <c r="A47" t="s">
        <v>29</v>
      </c>
      <c r="B47" s="6">
        <v>15.759</v>
      </c>
    </row>
    <row r="48" spans="1:14" x14ac:dyDescent="0.25">
      <c r="A48" t="s">
        <v>30</v>
      </c>
      <c r="B48" s="4">
        <f>EXP(B47)</f>
        <v>6983075.5437024962</v>
      </c>
    </row>
    <row r="49" spans="2:2" x14ac:dyDescent="0.25">
      <c r="B49" s="4"/>
    </row>
    <row r="78" spans="2:2" x14ac:dyDescent="0.25">
      <c r="B78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ex1</vt:lpstr>
      <vt:lpstr>ex2 (2)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Cafaro</dc:creator>
  <cp:lastModifiedBy>Sina Ghanbari</cp:lastModifiedBy>
  <dcterms:created xsi:type="dcterms:W3CDTF">2023-12-01T09:50:33Z</dcterms:created>
  <dcterms:modified xsi:type="dcterms:W3CDTF">2024-06-25T14:01:22Z</dcterms:modified>
</cp:coreProperties>
</file>