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3_Ta\"/>
    </mc:Choice>
  </mc:AlternateContent>
  <xr:revisionPtr revIDLastSave="0" documentId="13_ncr:1_{47DFCF55-F09D-4AF2-9720-391D216AB151}" xr6:coauthVersionLast="47" xr6:coauthVersionMax="47" xr10:uidLastSave="{00000000-0000-0000-0000-000000000000}"/>
  <bookViews>
    <workbookView xWindow="-120" yWindow="-120" windowWidth="23280" windowHeight="14880" activeTab="1" xr2:uid="{D8C94763-68ED-4754-B889-67D69145CD04}"/>
  </bookViews>
  <sheets>
    <sheet name="ex1" sheetId="6" r:id="rId1"/>
    <sheet name="ex2 (2)" sheetId="9" r:id="rId2"/>
    <sheet name="ex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9" l="1"/>
  <c r="J8" i="9"/>
  <c r="M8" i="9" s="1"/>
  <c r="M13" i="9" s="1"/>
  <c r="B50" i="9" s="1"/>
  <c r="C50" i="9" s="1"/>
  <c r="M22" i="9"/>
  <c r="M28" i="9"/>
  <c r="M29" i="9"/>
  <c r="M30" i="9"/>
  <c r="M31" i="9"/>
  <c r="M27" i="9"/>
  <c r="M18" i="9"/>
  <c r="M19" i="9"/>
  <c r="M20" i="9"/>
  <c r="M21" i="9"/>
  <c r="M17" i="9"/>
  <c r="M9" i="9"/>
  <c r="M10" i="9"/>
  <c r="M11" i="9"/>
  <c r="M12" i="9"/>
  <c r="J28" i="9"/>
  <c r="J29" i="9"/>
  <c r="J30" i="9"/>
  <c r="J31" i="9"/>
  <c r="J27" i="9"/>
  <c r="J18" i="9"/>
  <c r="J19" i="9"/>
  <c r="J20" i="9"/>
  <c r="J21" i="9"/>
  <c r="J17" i="9"/>
  <c r="J9" i="9"/>
  <c r="J10" i="9"/>
  <c r="J11" i="9"/>
  <c r="J12" i="9"/>
  <c r="G31" i="9"/>
  <c r="H31" i="9" s="1"/>
  <c r="I31" i="9" s="1"/>
  <c r="G30" i="9"/>
  <c r="H30" i="9" s="1"/>
  <c r="I30" i="9" s="1"/>
  <c r="G29" i="9"/>
  <c r="H29" i="9" s="1"/>
  <c r="I29" i="9" s="1"/>
  <c r="K29" i="9" s="1"/>
  <c r="B29" i="9"/>
  <c r="B30" i="9" s="1"/>
  <c r="G28" i="9"/>
  <c r="H28" i="9" s="1"/>
  <c r="I28" i="9" s="1"/>
  <c r="G27" i="9"/>
  <c r="H27" i="9" s="1"/>
  <c r="I27" i="9" s="1"/>
  <c r="B19" i="9"/>
  <c r="B10" i="9"/>
  <c r="G21" i="9"/>
  <c r="H21" i="9" s="1"/>
  <c r="G20" i="9"/>
  <c r="H20" i="9" s="1"/>
  <c r="G19" i="9"/>
  <c r="H19" i="9" s="1"/>
  <c r="G18" i="9"/>
  <c r="H18" i="9" s="1"/>
  <c r="G17" i="9"/>
  <c r="H17" i="9" s="1"/>
  <c r="H9" i="9"/>
  <c r="H10" i="9"/>
  <c r="H11" i="9"/>
  <c r="H12" i="9"/>
  <c r="H8" i="9"/>
  <c r="G9" i="9"/>
  <c r="G10" i="9"/>
  <c r="G11" i="9"/>
  <c r="G12" i="9"/>
  <c r="G8" i="9"/>
  <c r="B3" i="9"/>
  <c r="B7" i="9"/>
  <c r="B58" i="9"/>
  <c r="D52" i="9"/>
  <c r="C52" i="9"/>
  <c r="D51" i="9"/>
  <c r="C51" i="9"/>
  <c r="D50" i="9"/>
  <c r="L32" i="7"/>
  <c r="L33" i="7"/>
  <c r="L34" i="7"/>
  <c r="L35" i="7"/>
  <c r="L31" i="7"/>
  <c r="L24" i="7"/>
  <c r="L25" i="7"/>
  <c r="L26" i="7"/>
  <c r="L27" i="7"/>
  <c r="L23" i="7"/>
  <c r="L16" i="7"/>
  <c r="L17" i="7"/>
  <c r="L18" i="7"/>
  <c r="L19" i="7"/>
  <c r="L15" i="7"/>
  <c r="L8" i="7"/>
  <c r="L9" i="7"/>
  <c r="L10" i="7"/>
  <c r="L11" i="7"/>
  <c r="L7" i="7"/>
  <c r="B48" i="7"/>
  <c r="D42" i="7"/>
  <c r="C42" i="7"/>
  <c r="D41" i="7"/>
  <c r="C41" i="7"/>
  <c r="D40" i="7"/>
  <c r="C40" i="7"/>
  <c r="N35" i="7"/>
  <c r="J35" i="7"/>
  <c r="N34" i="7"/>
  <c r="J34" i="7"/>
  <c r="N33" i="7"/>
  <c r="J33" i="7"/>
  <c r="B33" i="7"/>
  <c r="B34" i="7" s="1"/>
  <c r="N32" i="7"/>
  <c r="J32" i="7"/>
  <c r="B32" i="7"/>
  <c r="N31" i="7"/>
  <c r="J31" i="7"/>
  <c r="N27" i="7"/>
  <c r="J27" i="7"/>
  <c r="K27" i="7" s="1"/>
  <c r="M27" i="7" s="1"/>
  <c r="N26" i="7"/>
  <c r="J26" i="7"/>
  <c r="N25" i="7"/>
  <c r="J25" i="7"/>
  <c r="K25" i="7" s="1"/>
  <c r="N24" i="7"/>
  <c r="J24" i="7"/>
  <c r="B24" i="7"/>
  <c r="B25" i="7" s="1"/>
  <c r="B26" i="7" s="1"/>
  <c r="N23" i="7"/>
  <c r="J23" i="7"/>
  <c r="N19" i="7"/>
  <c r="J19" i="7"/>
  <c r="N18" i="7"/>
  <c r="J18" i="7"/>
  <c r="N17" i="7"/>
  <c r="J17" i="7"/>
  <c r="B17" i="7"/>
  <c r="B18" i="7" s="1"/>
  <c r="N16" i="7"/>
  <c r="J16" i="7"/>
  <c r="B16" i="7"/>
  <c r="N15" i="7"/>
  <c r="J15" i="7"/>
  <c r="N11" i="7"/>
  <c r="J11" i="7"/>
  <c r="N10" i="7"/>
  <c r="J10" i="7"/>
  <c r="N9" i="7"/>
  <c r="J9" i="7"/>
  <c r="N8" i="7"/>
  <c r="J8" i="7"/>
  <c r="B8" i="7"/>
  <c r="B9" i="7" s="1"/>
  <c r="B10" i="7" s="1"/>
  <c r="N7" i="7"/>
  <c r="J7" i="7"/>
  <c r="B48" i="6"/>
  <c r="D42" i="6"/>
  <c r="C42" i="6"/>
  <c r="D41" i="6"/>
  <c r="C41" i="6"/>
  <c r="D40" i="6"/>
  <c r="C40" i="6"/>
  <c r="N35" i="6"/>
  <c r="J35" i="6"/>
  <c r="N34" i="6"/>
  <c r="J34" i="6"/>
  <c r="B34" i="6"/>
  <c r="K35" i="6" s="1"/>
  <c r="L35" i="6" s="1"/>
  <c r="M35" i="6" s="1"/>
  <c r="N33" i="6"/>
  <c r="J33" i="6"/>
  <c r="B33" i="6"/>
  <c r="N32" i="6"/>
  <c r="J32" i="6"/>
  <c r="B32" i="6"/>
  <c r="N31" i="6"/>
  <c r="J31" i="6"/>
  <c r="N27" i="6"/>
  <c r="J27" i="6"/>
  <c r="K27" i="6" s="1"/>
  <c r="L27" i="6" s="1"/>
  <c r="M27" i="6" s="1"/>
  <c r="N26" i="6"/>
  <c r="J26" i="6"/>
  <c r="N25" i="6"/>
  <c r="J25" i="6"/>
  <c r="N24" i="6"/>
  <c r="J24" i="6"/>
  <c r="B24" i="6"/>
  <c r="B25" i="6" s="1"/>
  <c r="B26" i="6" s="1"/>
  <c r="N23" i="6"/>
  <c r="J23" i="6"/>
  <c r="K23" i="6" s="1"/>
  <c r="L23" i="6" s="1"/>
  <c r="M23" i="6" s="1"/>
  <c r="N19" i="6"/>
  <c r="J19" i="6"/>
  <c r="N18" i="6"/>
  <c r="J18" i="6"/>
  <c r="N17" i="6"/>
  <c r="J17" i="6"/>
  <c r="B17" i="6"/>
  <c r="B18" i="6" s="1"/>
  <c r="K19" i="6" s="1"/>
  <c r="L19" i="6" s="1"/>
  <c r="M19" i="6" s="1"/>
  <c r="N16" i="6"/>
  <c r="J16" i="6"/>
  <c r="B16" i="6"/>
  <c r="N15" i="6"/>
  <c r="J15" i="6"/>
  <c r="N11" i="6"/>
  <c r="J11" i="6"/>
  <c r="K11" i="6" s="1"/>
  <c r="L11" i="6" s="1"/>
  <c r="M11" i="6" s="1"/>
  <c r="N10" i="6"/>
  <c r="J10" i="6"/>
  <c r="N9" i="6"/>
  <c r="J9" i="6"/>
  <c r="N8" i="6"/>
  <c r="J8" i="6"/>
  <c r="B8" i="6"/>
  <c r="B9" i="6" s="1"/>
  <c r="B10" i="6" s="1"/>
  <c r="N7" i="6"/>
  <c r="J7" i="6"/>
  <c r="K7" i="6" s="1"/>
  <c r="L7" i="6" s="1"/>
  <c r="M7" i="6" s="1"/>
  <c r="K31" i="9" l="1"/>
  <c r="K30" i="9"/>
  <c r="K28" i="9"/>
  <c r="K27" i="9"/>
  <c r="I18" i="9"/>
  <c r="K18" i="9" s="1"/>
  <c r="I20" i="9"/>
  <c r="K20" i="9" s="1"/>
  <c r="B20" i="9"/>
  <c r="B11" i="9"/>
  <c r="M25" i="7"/>
  <c r="K32" i="7"/>
  <c r="M32" i="7" s="1"/>
  <c r="K33" i="7"/>
  <c r="M33" i="7" s="1"/>
  <c r="K31" i="7"/>
  <c r="M31" i="7" s="1"/>
  <c r="K9" i="7"/>
  <c r="M9" i="7" s="1"/>
  <c r="K16" i="7"/>
  <c r="M16" i="7" s="1"/>
  <c r="K23" i="7"/>
  <c r="M23" i="7" s="1"/>
  <c r="K35" i="7"/>
  <c r="M35" i="7" s="1"/>
  <c r="K34" i="7"/>
  <c r="M34" i="7" s="1"/>
  <c r="K7" i="7"/>
  <c r="M7" i="7" s="1"/>
  <c r="K19" i="7"/>
  <c r="M19" i="7" s="1"/>
  <c r="K18" i="7"/>
  <c r="M18" i="7" s="1"/>
  <c r="K11" i="7"/>
  <c r="M11" i="7" s="1"/>
  <c r="K17" i="7"/>
  <c r="M17" i="7" s="1"/>
  <c r="K26" i="7"/>
  <c r="M26" i="7" s="1"/>
  <c r="K24" i="7"/>
  <c r="M24" i="7" s="1"/>
  <c r="K10" i="7"/>
  <c r="M10" i="7" s="1"/>
  <c r="K8" i="7"/>
  <c r="M8" i="7" s="1"/>
  <c r="K15" i="7"/>
  <c r="M15" i="7" s="1"/>
  <c r="K15" i="6"/>
  <c r="L15" i="6" s="1"/>
  <c r="M15" i="6" s="1"/>
  <c r="K17" i="6"/>
  <c r="L17" i="6" s="1"/>
  <c r="M17" i="6" s="1"/>
  <c r="K33" i="6"/>
  <c r="L33" i="6" s="1"/>
  <c r="M33" i="6" s="1"/>
  <c r="K26" i="6"/>
  <c r="L26" i="6" s="1"/>
  <c r="M26" i="6" s="1"/>
  <c r="K18" i="6"/>
  <c r="L18" i="6" s="1"/>
  <c r="M18" i="6" s="1"/>
  <c r="K31" i="6"/>
  <c r="L31" i="6" s="1"/>
  <c r="M31" i="6" s="1"/>
  <c r="K34" i="6"/>
  <c r="L34" i="6" s="1"/>
  <c r="M34" i="6" s="1"/>
  <c r="K16" i="6"/>
  <c r="L16" i="6" s="1"/>
  <c r="M16" i="6" s="1"/>
  <c r="K10" i="6"/>
  <c r="L10" i="6" s="1"/>
  <c r="M10" i="6" s="1"/>
  <c r="K32" i="6"/>
  <c r="L32" i="6" s="1"/>
  <c r="M32" i="6" s="1"/>
  <c r="K8" i="6"/>
  <c r="L8" i="6" s="1"/>
  <c r="M8" i="6" s="1"/>
  <c r="K24" i="6"/>
  <c r="L24" i="6" s="1"/>
  <c r="M24" i="6" s="1"/>
  <c r="K9" i="6"/>
  <c r="L9" i="6" s="1"/>
  <c r="M9" i="6" s="1"/>
  <c r="K25" i="6"/>
  <c r="L25" i="6" s="1"/>
  <c r="M25" i="6" s="1"/>
  <c r="I10" i="9" l="1"/>
  <c r="K10" i="9" s="1"/>
  <c r="I11" i="9"/>
  <c r="K11" i="9" s="1"/>
  <c r="I12" i="9"/>
  <c r="K12" i="9" s="1"/>
  <c r="I8" i="9"/>
  <c r="K8" i="9" s="1"/>
  <c r="I9" i="9"/>
  <c r="K9" i="9" s="1"/>
  <c r="I17" i="9"/>
  <c r="K17" i="9" s="1"/>
  <c r="I19" i="9"/>
  <c r="K19" i="9" s="1"/>
  <c r="I21" i="9"/>
  <c r="K21" i="9" s="1"/>
</calcChain>
</file>

<file path=xl/sharedStrings.xml><?xml version="1.0" encoding="utf-8"?>
<sst xmlns="http://schemas.openxmlformats.org/spreadsheetml/2006/main" count="234" uniqueCount="43">
  <si>
    <t>K</t>
  </si>
  <si>
    <t>conversion</t>
  </si>
  <si>
    <t>r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</si>
  <si>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</si>
  <si>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</si>
  <si>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</si>
  <si>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</si>
  <si>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</si>
  <si>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</si>
  <si>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</si>
  <si>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</si>
  <si>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</si>
  <si>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</si>
  <si>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</si>
  <si>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</si>
  <si>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</si>
  <si>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</si>
  <si>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</si>
  <si>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</si>
  <si>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</si>
  <si>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</si>
  <si>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</si>
  <si>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</si>
  <si>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</si>
  <si>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</si>
  <si>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kr</t>
  </si>
  <si>
    <t>lnK</t>
  </si>
  <si>
    <t>-1/T</t>
  </si>
  <si>
    <t>Ea/R</t>
  </si>
  <si>
    <t>lnK0</t>
  </si>
  <si>
    <t>k0</t>
  </si>
  <si>
    <t>T [K]</t>
  </si>
  <si>
    <t>espi</t>
  </si>
  <si>
    <t>1st condition</t>
  </si>
  <si>
    <t>Q_298</t>
  </si>
  <si>
    <t>diameter</t>
  </si>
  <si>
    <t>length</t>
  </si>
  <si>
    <t>2nd condition</t>
  </si>
  <si>
    <t>3rd condition</t>
  </si>
  <si>
    <t>T</t>
  </si>
  <si>
    <t>catalyst density</t>
  </si>
  <si>
    <t>kg/m3</t>
  </si>
  <si>
    <t>r/CA2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</si>
</sst>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'ex1'!$M$7:$M$11</c:f>
              <c:numCache>
                <c:formatCode>0.00</c:formatCode>
                <c:ptCount val="5"/>
                <c:pt idx="0">
                  <c:v>0.97085458612975462</c:v>
                </c:pt>
                <c:pt idx="1">
                  <c:v>0.9929194630872491</c:v>
                </c:pt>
                <c:pt idx="2">
                  <c:v>0.95320268456375901</c:v>
                </c:pt>
                <c:pt idx="3">
                  <c:v>0.97085458612975462</c:v>
                </c:pt>
                <c:pt idx="4">
                  <c:v>0.96455033557046843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944-A77D-7E31EBE8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5378500077354"/>
                  <c:y val="5.0555045032980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'ex1'!$C$40:$C$43</c:f>
              <c:numCache>
                <c:formatCode>0.00</c:formatCode>
                <c:ptCount val="4"/>
                <c:pt idx="0">
                  <c:v>-1.2173800931708762E-2</c:v>
                </c:pt>
                <c:pt idx="1">
                  <c:v>0.56315238394375811</c:v>
                </c:pt>
                <c:pt idx="2">
                  <c:v>1.1153055116097701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9-4DF8-88A9-31E2CF94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 (2)'!$F$8:$F$12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'ex2 (2)'!$M$8:$M$12</c:f>
              <c:numCache>
                <c:formatCode>General</c:formatCode>
                <c:ptCount val="5"/>
                <c:pt idx="0">
                  <c:v>0.32553264167086327</c:v>
                </c:pt>
                <c:pt idx="1">
                  <c:v>0.32553264167086232</c:v>
                </c:pt>
                <c:pt idx="2">
                  <c:v>0.3255326416708641</c:v>
                </c:pt>
                <c:pt idx="3">
                  <c:v>0.32553264167086376</c:v>
                </c:pt>
                <c:pt idx="4">
                  <c:v>0.32553264167086282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07-46FD-8C39-3109562D7A9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 (2)'!$F$17:$F$21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'ex2 (2)'!$M$17:$M$21</c:f>
              <c:numCache>
                <c:formatCode>0.00</c:formatCode>
                <c:ptCount val="5"/>
                <c:pt idx="0">
                  <c:v>0.60223538709109714</c:v>
                </c:pt>
                <c:pt idx="1">
                  <c:v>0.59680984306324836</c:v>
                </c:pt>
                <c:pt idx="2">
                  <c:v>0.58130828869797024</c:v>
                </c:pt>
                <c:pt idx="3">
                  <c:v>0.57985501797622563</c:v>
                </c:pt>
                <c:pt idx="4">
                  <c:v>0.57872469630375734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07-46FD-8C39-3109562D7A9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 (2)'!$F$27:$F$31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'ex2 (2)'!$M$27:$M$31</c:f>
              <c:numCache>
                <c:formatCode>0.00</c:formatCode>
                <c:ptCount val="5"/>
                <c:pt idx="0">
                  <c:v>0.81383160417715827</c:v>
                </c:pt>
                <c:pt idx="1">
                  <c:v>0.81383160417715839</c:v>
                </c:pt>
                <c:pt idx="2">
                  <c:v>0.80220543840319836</c:v>
                </c:pt>
                <c:pt idx="3">
                  <c:v>0.79348581407272856</c:v>
                </c:pt>
                <c:pt idx="4">
                  <c:v>0.78670388403791813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07-46FD-8C39-3109562D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 (2)'!$D$50:$D$52</c:f>
              <c:numCache>
                <c:formatCode>General</c:formatCode>
                <c:ptCount val="3"/>
                <c:pt idx="0">
                  <c:v>-2.2222222222222222E-3</c:v>
                </c:pt>
                <c:pt idx="1">
                  <c:v>-2.0833333333333333E-3</c:v>
                </c:pt>
                <c:pt idx="2">
                  <c:v>-1.9607843137254902E-3</c:v>
                </c:pt>
              </c:numCache>
            </c:numRef>
          </c:xVal>
          <c:yVal>
            <c:numRef>
              <c:f>'ex2 (2)'!$C$50:$C$52</c:f>
              <c:numCache>
                <c:formatCode>0.00</c:formatCode>
                <c:ptCount val="3"/>
                <c:pt idx="0">
                  <c:v>-1.1222925407304634</c:v>
                </c:pt>
                <c:pt idx="1">
                  <c:v>-0.52763274208237199</c:v>
                </c:pt>
                <c:pt idx="2">
                  <c:v>-0.22314355131420971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C5-44DE-A266-57A30421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'ex2'!$M$7:$M$11</c:f>
              <c:numCache>
                <c:formatCode>0.00</c:formatCode>
                <c:ptCount val="5"/>
                <c:pt idx="0">
                  <c:v>2.0568953095969382</c:v>
                </c:pt>
                <c:pt idx="1">
                  <c:v>2.1036429302695958</c:v>
                </c:pt>
                <c:pt idx="2">
                  <c:v>2.0194972130588122</c:v>
                </c:pt>
                <c:pt idx="3">
                  <c:v>2.0568953095969382</c:v>
                </c:pt>
                <c:pt idx="4">
                  <c:v>2.043538846547603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0-43B5-9394-CBC3663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'ex2'!$C$40:$C$43</c:f>
              <c:numCache>
                <c:formatCode>0.00</c:formatCode>
                <c:ptCount val="4"/>
                <c:pt idx="0">
                  <c:v>0.73859844346386272</c:v>
                </c:pt>
                <c:pt idx="1">
                  <c:v>1.3139386989277502</c:v>
                </c:pt>
                <c:pt idx="2">
                  <c:v>1.8660626604205384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84-4856-BC6D-6B64540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7F2E-4F55-4BC4-8ACE-0F7FEE7F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4ED2-9606-440E-AF2E-58B8D25F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7902B-C3FC-4C37-B7B7-DC8FA3300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486573</xdr:colOff>
      <xdr:row>36</xdr:row>
      <xdr:rowOff>11906</xdr:rowOff>
    </xdr:from>
    <xdr:to>
      <xdr:col>15</xdr:col>
      <xdr:colOff>546105</xdr:colOff>
      <xdr:row>56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F9F1A-1A66-4E8C-AF91-E62AFFE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EFAE-910B-47D2-96D0-31E6440F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EB15F-FAC2-40DF-BEAB-AF25CEF7C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3FB-EE50-49C5-AA31-E704CF8CC948}">
  <dimension ref="A1:N78"/>
  <sheetViews>
    <sheetView zoomScaleNormal="100" workbookViewId="0">
      <selection activeCell="B40" sqref="B40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3.9999999999999998E-6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1.9999999999999999E-7</v>
      </c>
      <c r="C3" t="s">
        <v>17</v>
      </c>
      <c r="D3" s="1"/>
      <c r="E3" s="1"/>
      <c r="F3" s="1"/>
    </row>
    <row r="4" spans="1:14" x14ac:dyDescent="0.25">
      <c r="A4" s="3"/>
      <c r="B4" s="4"/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-0.72814093959731596</v>
      </c>
      <c r="L7" s="6">
        <f>-K7</f>
        <v>0.72814093959731596</v>
      </c>
      <c r="M7" s="6">
        <f>L7/F7</f>
        <v>0.97085458612975462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-0.9929194630872491</v>
      </c>
      <c r="L8" s="6">
        <f t="shared" ref="L8:L11" si="2">-K8</f>
        <v>0.9929194630872491</v>
      </c>
      <c r="M8" s="6">
        <f t="shared" ref="M8:M11" si="3">L8/F8</f>
        <v>0.9929194630872491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6.6194630872483208E-6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-1.1915033557046988</v>
      </c>
      <c r="L9" s="6">
        <f t="shared" si="2"/>
        <v>1.1915033557046988</v>
      </c>
      <c r="M9" s="6">
        <f t="shared" si="3"/>
        <v>0.95320268456375901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3.0213930852681745E-2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-1.4562818791946319</v>
      </c>
      <c r="L10" s="6">
        <f t="shared" si="2"/>
        <v>1.4562818791946319</v>
      </c>
      <c r="M10" s="6">
        <f t="shared" si="3"/>
        <v>0.97085458612975462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-1.6879630872483198</v>
      </c>
      <c r="L11" s="6">
        <f t="shared" si="2"/>
        <v>1.6879630872483198</v>
      </c>
      <c r="M11" s="6">
        <f t="shared" si="3"/>
        <v>0.96455033557046843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-1.2742651006711421</v>
      </c>
      <c r="L15" s="6">
        <f>-K15</f>
        <v>1.2742651006711421</v>
      </c>
      <c r="M15" s="6">
        <f>L15/F15</f>
        <v>1.6990201342281894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-1.7219798657718137</v>
      </c>
      <c r="L16" s="6">
        <f t="shared" ref="L16:L19" si="7">-K16</f>
        <v>1.7219798657718137</v>
      </c>
      <c r="M16" s="6">
        <f t="shared" ref="M16:M19" si="8">L16/F16</f>
        <v>1.7219798657718137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6.8879194630872483E-6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-2.135255033557049</v>
      </c>
      <c r="L17" s="6">
        <f t="shared" si="7"/>
        <v>2.135255033557049</v>
      </c>
      <c r="M17" s="6">
        <f t="shared" si="8"/>
        <v>1.7082040268456393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2.9036344148884341E-2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-2.5829697986577167</v>
      </c>
      <c r="L18" s="6">
        <f t="shared" si="7"/>
        <v>2.5829697986577167</v>
      </c>
      <c r="M18" s="6">
        <f t="shared" si="8"/>
        <v>1.7219798657718111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-2.9962449664429518</v>
      </c>
      <c r="L19" s="6">
        <f t="shared" si="7"/>
        <v>2.9962449664429518</v>
      </c>
      <c r="M19" s="6">
        <f t="shared" si="8"/>
        <v>1.7121399808245439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-1.7219798657718137</v>
      </c>
      <c r="L23" s="6">
        <f>-K23</f>
        <v>1.7219798657718137</v>
      </c>
      <c r="M23" s="6">
        <f>L23/F23</f>
        <v>1.7219798657718137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-1.7219798657718137</v>
      </c>
      <c r="L24" s="6">
        <f t="shared" ref="L24:L27" si="12">-K24</f>
        <v>1.7219798657718137</v>
      </c>
      <c r="M24" s="6">
        <f t="shared" ref="M24:M27" si="13">L24/F24</f>
        <v>1.7219798657718137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6.8879194630872483E-6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-1.7219798657718137</v>
      </c>
      <c r="L25" s="6">
        <f t="shared" si="12"/>
        <v>1.7219798657718137</v>
      </c>
      <c r="M25" s="6">
        <f t="shared" si="13"/>
        <v>1.7219798657718137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2.9036344148884341E-2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-1.7219798657718137</v>
      </c>
      <c r="L26" s="6">
        <f t="shared" si="12"/>
        <v>1.7219798657718137</v>
      </c>
      <c r="M26" s="6">
        <f t="shared" si="13"/>
        <v>1.7219798657718137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-1.7219798657718137</v>
      </c>
      <c r="L27" s="6">
        <f t="shared" si="12"/>
        <v>1.7219798657718137</v>
      </c>
      <c r="M27" s="6">
        <f t="shared" si="13"/>
        <v>1.7219798657718137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-2.1826946308724851</v>
      </c>
      <c r="L31" s="6">
        <f>-K31</f>
        <v>2.1826946308724851</v>
      </c>
      <c r="M31" s="6">
        <f>L31/F31</f>
        <v>2.9102595078299802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-2.9341140939597299</v>
      </c>
      <c r="L32" s="6">
        <f t="shared" ref="L32:L35" si="17">-K32</f>
        <v>2.9341140939597299</v>
      </c>
      <c r="M32" s="6">
        <f t="shared" ref="M32:M35" si="18">L32/F32</f>
        <v>2.9341140939597299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7.1563758389261734E-6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-3.6497516778523522</v>
      </c>
      <c r="L33" s="6">
        <f t="shared" si="17"/>
        <v>3.6497516778523522</v>
      </c>
      <c r="M33" s="6">
        <f t="shared" si="18"/>
        <v>2.9198013422818816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2.7947106817968678E-2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-4.4011711409395966</v>
      </c>
      <c r="L34" s="6">
        <f t="shared" si="17"/>
        <v>4.4011711409395966</v>
      </c>
      <c r="M34" s="6">
        <f t="shared" si="18"/>
        <v>2.9341140939597312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-5.1168087248322154</v>
      </c>
      <c r="L35" s="6">
        <f t="shared" si="17"/>
        <v>5.1168087248322154</v>
      </c>
      <c r="M35" s="6">
        <f t="shared" si="18"/>
        <v>2.9238906999041232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0.9879</v>
      </c>
      <c r="C40" s="6">
        <f>LN(B40)</f>
        <v>-1.2173800931708762E-2</v>
      </c>
      <c r="D40">
        <f>-1/A40</f>
        <v>-2.0277805941397143E-3</v>
      </c>
    </row>
    <row r="41" spans="1:14" x14ac:dyDescent="0.25">
      <c r="A41">
        <v>513.15</v>
      </c>
      <c r="B41" s="6">
        <v>1.7562</v>
      </c>
      <c r="C41" s="6">
        <f t="shared" ref="C41:C42" si="20">LN(B41)</f>
        <v>0.56315238394375811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3.0505</v>
      </c>
      <c r="C42" s="6">
        <f t="shared" si="20"/>
        <v>1.1153055116097701</v>
      </c>
      <c r="D42">
        <f t="shared" si="21"/>
        <v>-1.8756447528838038E-3</v>
      </c>
    </row>
    <row r="46" spans="1:14" x14ac:dyDescent="0.25">
      <c r="A46" t="s">
        <v>28</v>
      </c>
      <c r="B46" s="6">
        <v>7409.2</v>
      </c>
    </row>
    <row r="47" spans="1:14" x14ac:dyDescent="0.25">
      <c r="A47" t="s">
        <v>29</v>
      </c>
      <c r="B47" s="6">
        <v>15.009</v>
      </c>
    </row>
    <row r="48" spans="1:14" x14ac:dyDescent="0.25">
      <c r="A48" t="s">
        <v>30</v>
      </c>
      <c r="B48" s="4">
        <f>EXP(B47)</f>
        <v>3298571.3221088354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20E2-7CD9-4B49-B4F8-86216A49F312}">
  <dimension ref="A1:N78"/>
  <sheetViews>
    <sheetView tabSelected="1" zoomScale="109" zoomScaleNormal="120" workbookViewId="0">
      <selection activeCell="D57" sqref="D57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40</v>
      </c>
      <c r="B2" s="4">
        <v>1750</v>
      </c>
      <c r="C2" t="s">
        <v>41</v>
      </c>
      <c r="D2" s="1"/>
      <c r="E2" s="1"/>
      <c r="F2" s="1"/>
      <c r="G2" t="s">
        <v>35</v>
      </c>
      <c r="H2">
        <v>1.4999999999999999E-2</v>
      </c>
    </row>
    <row r="3" spans="1:14" x14ac:dyDescent="0.25">
      <c r="A3" s="3" t="s">
        <v>16</v>
      </c>
      <c r="B3" s="4">
        <f xml:space="preserve"> 0.25*PI()*H2^2*H3</f>
        <v>7.0685834705770344E-6</v>
      </c>
      <c r="C3" t="s">
        <v>17</v>
      </c>
      <c r="D3" s="1"/>
      <c r="E3" s="1"/>
      <c r="F3" s="1"/>
      <c r="G3" t="s">
        <v>36</v>
      </c>
      <c r="H3">
        <v>0.04</v>
      </c>
    </row>
    <row r="4" spans="1:14" x14ac:dyDescent="0.25">
      <c r="A4" s="3" t="s">
        <v>32</v>
      </c>
      <c r="B4" s="4">
        <v>0.4</v>
      </c>
      <c r="D4" s="1"/>
      <c r="E4" s="1"/>
      <c r="F4" s="1"/>
    </row>
    <row r="6" spans="1:14" x14ac:dyDescent="0.25">
      <c r="A6" s="3" t="s">
        <v>33</v>
      </c>
    </row>
    <row r="7" spans="1:14" x14ac:dyDescent="0.25">
      <c r="A7" t="s">
        <v>34</v>
      </c>
      <c r="B7">
        <f xml:space="preserve"> 0.08</f>
        <v>0.08</v>
      </c>
      <c r="C7" t="s">
        <v>15</v>
      </c>
      <c r="E7" s="1" t="s">
        <v>5</v>
      </c>
      <c r="F7" s="1" t="s">
        <v>6</v>
      </c>
      <c r="G7" s="1" t="s">
        <v>8</v>
      </c>
      <c r="H7" s="1" t="s">
        <v>22</v>
      </c>
      <c r="I7" s="1" t="s">
        <v>23</v>
      </c>
      <c r="J7" s="1" t="s">
        <v>2</v>
      </c>
      <c r="K7" s="1" t="s">
        <v>24</v>
      </c>
      <c r="L7" s="1" t="s">
        <v>1</v>
      </c>
      <c r="M7" s="1" t="s">
        <v>42</v>
      </c>
    </row>
    <row r="8" spans="1:14" x14ac:dyDescent="0.25">
      <c r="E8" s="2">
        <v>1</v>
      </c>
      <c r="F8" s="2">
        <v>1</v>
      </c>
      <c r="G8" s="2">
        <f xml:space="preserve"> (1-L8/100)*F8</f>
        <v>0.98</v>
      </c>
      <c r="H8">
        <f xml:space="preserve"> G8-F8</f>
        <v>-2.0000000000000018E-2</v>
      </c>
      <c r="I8" s="4">
        <f xml:space="preserve"> H8/$B$11</f>
        <v>-341.80927375440643</v>
      </c>
      <c r="J8" s="6">
        <f xml:space="preserve"> -I8/((1-$B$4)*$B$2)</f>
        <v>0.32553264167086327</v>
      </c>
      <c r="K8" s="6">
        <f xml:space="preserve"> J8/F8</f>
        <v>0.32553264167086327</v>
      </c>
      <c r="L8" s="7">
        <v>2</v>
      </c>
      <c r="M8">
        <f xml:space="preserve"> J8/F8^2</f>
        <v>0.32553264167086327</v>
      </c>
    </row>
    <row r="9" spans="1:14" x14ac:dyDescent="0.25">
      <c r="A9" t="s">
        <v>4</v>
      </c>
      <c r="B9">
        <v>450</v>
      </c>
      <c r="C9" t="s">
        <v>0</v>
      </c>
      <c r="E9" s="2">
        <v>2</v>
      </c>
      <c r="F9" s="2">
        <v>1.2</v>
      </c>
      <c r="G9" s="2">
        <f t="shared" ref="G9:G12" si="0" xml:space="preserve"> (1-L9/100)*F9</f>
        <v>1.1712</v>
      </c>
      <c r="H9">
        <f t="shared" ref="H9:H12" si="1" xml:space="preserve"> G9-F9</f>
        <v>-2.8799999999999937E-2</v>
      </c>
      <c r="I9" s="4">
        <f t="shared" ref="I9:I12" si="2" xml:space="preserve"> H9/$B$11</f>
        <v>-492.20535420634377</v>
      </c>
      <c r="J9" s="6">
        <f t="shared" ref="J9:J12" si="3" xml:space="preserve"> -I9/((1-$B$4)*$B$2)</f>
        <v>0.46876700400604171</v>
      </c>
      <c r="K9" s="6">
        <f t="shared" ref="K9:K12" si="4" xml:space="preserve"> J9/F9</f>
        <v>0.39063917000503479</v>
      </c>
      <c r="L9" s="7">
        <v>2.4</v>
      </c>
      <c r="M9">
        <f t="shared" ref="M9:M12" si="5" xml:space="preserve"> J9/F9^2</f>
        <v>0.32553264167086232</v>
      </c>
    </row>
    <row r="10" spans="1:14" x14ac:dyDescent="0.25">
      <c r="A10" t="s">
        <v>18</v>
      </c>
      <c r="B10" s="4">
        <f>B7*B9/298</f>
        <v>0.12080536912751678</v>
      </c>
      <c r="C10" t="s">
        <v>20</v>
      </c>
      <c r="E10" s="2">
        <v>3</v>
      </c>
      <c r="F10" s="2">
        <v>1.4</v>
      </c>
      <c r="G10" s="2">
        <f t="shared" si="0"/>
        <v>1.3607999999999998</v>
      </c>
      <c r="H10">
        <f t="shared" si="1"/>
        <v>-3.9200000000000124E-2</v>
      </c>
      <c r="I10" s="4">
        <f t="shared" si="2"/>
        <v>-669.94617655863817</v>
      </c>
      <c r="J10" s="6">
        <f t="shared" si="3"/>
        <v>0.63804397767489351</v>
      </c>
      <c r="K10" s="6">
        <f t="shared" si="4"/>
        <v>0.45574569833920969</v>
      </c>
      <c r="L10" s="7">
        <v>2.8</v>
      </c>
      <c r="M10">
        <f t="shared" si="5"/>
        <v>0.3255326416708641</v>
      </c>
    </row>
    <row r="11" spans="1:14" x14ac:dyDescent="0.25">
      <c r="A11" t="s">
        <v>19</v>
      </c>
      <c r="B11" s="4">
        <f>$B$3/B10</f>
        <v>5.8512163173109889E-5</v>
      </c>
      <c r="C11" t="s">
        <v>21</v>
      </c>
      <c r="E11" s="2">
        <v>4</v>
      </c>
      <c r="F11" s="2">
        <v>1.6</v>
      </c>
      <c r="G11" s="2">
        <f t="shared" si="0"/>
        <v>1.5488</v>
      </c>
      <c r="H11">
        <f t="shared" si="1"/>
        <v>-5.1200000000000134E-2</v>
      </c>
      <c r="I11" s="4">
        <f t="shared" si="2"/>
        <v>-875.03174081128202</v>
      </c>
      <c r="J11" s="6">
        <f t="shared" si="3"/>
        <v>0.83336356267741141</v>
      </c>
      <c r="K11" s="6">
        <f t="shared" si="4"/>
        <v>0.52085222667338205</v>
      </c>
      <c r="L11" s="7">
        <v>3.2</v>
      </c>
      <c r="M11">
        <f t="shared" si="5"/>
        <v>0.32553264167086376</v>
      </c>
    </row>
    <row r="12" spans="1:14" x14ac:dyDescent="0.25">
      <c r="E12" s="2">
        <v>5</v>
      </c>
      <c r="F12" s="2">
        <v>1.8</v>
      </c>
      <c r="G12" s="2">
        <f t="shared" si="0"/>
        <v>1.7352000000000001</v>
      </c>
      <c r="H12">
        <f t="shared" si="1"/>
        <v>-6.4799999999999969E-2</v>
      </c>
      <c r="I12" s="4">
        <f t="shared" si="2"/>
        <v>-1107.4620469642755</v>
      </c>
      <c r="J12" s="6">
        <f t="shared" si="3"/>
        <v>1.0547257590135957</v>
      </c>
      <c r="K12" s="6">
        <f t="shared" si="4"/>
        <v>0.58595875500755312</v>
      </c>
      <c r="L12" s="7">
        <v>3.6</v>
      </c>
      <c r="M12">
        <f t="shared" si="5"/>
        <v>0.32553264167086282</v>
      </c>
    </row>
    <row r="13" spans="1:14" x14ac:dyDescent="0.25">
      <c r="M13">
        <f xml:space="preserve"> AVERAGE(M8:M12)</f>
        <v>0.32553264167086327</v>
      </c>
    </row>
    <row r="14" spans="1:14" x14ac:dyDescent="0.25">
      <c r="A14" t="s">
        <v>37</v>
      </c>
    </row>
    <row r="16" spans="1:14" x14ac:dyDescent="0.25">
      <c r="A16" t="s">
        <v>34</v>
      </c>
      <c r="B16">
        <v>0.1</v>
      </c>
      <c r="C16" t="s">
        <v>15</v>
      </c>
      <c r="E16" s="1" t="s">
        <v>5</v>
      </c>
      <c r="F16" s="1" t="s">
        <v>6</v>
      </c>
      <c r="G16" s="1" t="s">
        <v>8</v>
      </c>
      <c r="H16" s="1" t="s">
        <v>22</v>
      </c>
      <c r="I16" s="1" t="s">
        <v>23</v>
      </c>
      <c r="J16" s="1" t="s">
        <v>2</v>
      </c>
      <c r="K16" s="1" t="s">
        <v>24</v>
      </c>
      <c r="L16" s="1" t="s">
        <v>1</v>
      </c>
      <c r="M16" s="1" t="s">
        <v>42</v>
      </c>
      <c r="N16" s="1"/>
    </row>
    <row r="17" spans="1:14" x14ac:dyDescent="0.25">
      <c r="E17" s="2">
        <v>1</v>
      </c>
      <c r="F17" s="2">
        <v>1</v>
      </c>
      <c r="G17" s="2">
        <f xml:space="preserve"> (1-L17/100)*F17</f>
        <v>0.96299999999999997</v>
      </c>
      <c r="H17">
        <f xml:space="preserve"> G17-F17</f>
        <v>-3.7000000000000033E-2</v>
      </c>
      <c r="I17" s="4">
        <f xml:space="preserve"> H17/$B$11</f>
        <v>-632.34715644565199</v>
      </c>
      <c r="J17" s="6">
        <f xml:space="preserve"> -I17/((1-$B$4)*$B$2)</f>
        <v>0.60223538709109714</v>
      </c>
      <c r="K17" s="6">
        <f xml:space="preserve"> J17/F17</f>
        <v>0.60223538709109714</v>
      </c>
      <c r="L17" s="7">
        <v>3.7</v>
      </c>
      <c r="M17" s="6">
        <f xml:space="preserve"> J17/F17^2</f>
        <v>0.60223538709109714</v>
      </c>
      <c r="N17" s="7"/>
    </row>
    <row r="18" spans="1:14" x14ac:dyDescent="0.25">
      <c r="A18" t="s">
        <v>4</v>
      </c>
      <c r="B18">
        <v>480</v>
      </c>
      <c r="C18" t="s">
        <v>0</v>
      </c>
      <c r="E18" s="2">
        <v>2</v>
      </c>
      <c r="F18" s="2">
        <v>1.2</v>
      </c>
      <c r="G18" s="2">
        <f t="shared" ref="G18:G21" si="6" xml:space="preserve"> (1-L18/100)*F18</f>
        <v>1.1472</v>
      </c>
      <c r="H18">
        <f t="shared" ref="H18:H21" si="7" xml:space="preserve"> G18-F18</f>
        <v>-5.2799999999999958E-2</v>
      </c>
      <c r="I18" s="4">
        <f t="shared" ref="I18:I21" si="8" xml:space="preserve"> H18/$B$11</f>
        <v>-902.37648271163152</v>
      </c>
      <c r="J18" s="6">
        <f t="shared" ref="J18:J21" si="9" xml:space="preserve"> -I18/((1-$B$4)*$B$2)</f>
        <v>0.85940617401107766</v>
      </c>
      <c r="K18" s="6">
        <f t="shared" ref="K18:K21" si="10" xml:space="preserve"> J18/F18</f>
        <v>0.71617181167589805</v>
      </c>
      <c r="L18" s="7">
        <v>4.4000000000000004</v>
      </c>
      <c r="M18" s="6">
        <f t="shared" ref="M18:M21" si="11" xml:space="preserve"> J18/F18^2</f>
        <v>0.59680984306324836</v>
      </c>
      <c r="N18" s="7"/>
    </row>
    <row r="19" spans="1:14" x14ac:dyDescent="0.25">
      <c r="A19" t="s">
        <v>18</v>
      </c>
      <c r="B19" s="4">
        <f>B16*B18/298</f>
        <v>0.16107382550335569</v>
      </c>
      <c r="C19" t="s">
        <v>20</v>
      </c>
      <c r="E19" s="2">
        <v>3</v>
      </c>
      <c r="F19" s="2">
        <v>1.4</v>
      </c>
      <c r="G19" s="2">
        <f t="shared" si="6"/>
        <v>1.3299999999999998</v>
      </c>
      <c r="H19">
        <f t="shared" si="7"/>
        <v>-7.0000000000000062E-2</v>
      </c>
      <c r="I19" s="4">
        <f t="shared" si="8"/>
        <v>-1196.3324581404227</v>
      </c>
      <c r="J19" s="6">
        <f t="shared" si="9"/>
        <v>1.1393642458480215</v>
      </c>
      <c r="K19" s="6">
        <f t="shared" si="10"/>
        <v>0.81383160417715827</v>
      </c>
      <c r="L19" s="7">
        <v>5</v>
      </c>
      <c r="M19" s="6">
        <f t="shared" si="11"/>
        <v>0.58130828869797024</v>
      </c>
      <c r="N19" s="7"/>
    </row>
    <row r="20" spans="1:14" x14ac:dyDescent="0.25">
      <c r="A20" t="s">
        <v>19</v>
      </c>
      <c r="B20" s="4">
        <f>$B$3/B19</f>
        <v>4.3884122379832426E-5</v>
      </c>
      <c r="C20" t="s">
        <v>21</v>
      </c>
      <c r="E20" s="2">
        <v>4</v>
      </c>
      <c r="F20" s="2">
        <v>1.6</v>
      </c>
      <c r="G20" s="2">
        <f t="shared" si="6"/>
        <v>1.5087999999999999</v>
      </c>
      <c r="H20">
        <f t="shared" si="7"/>
        <v>-9.120000000000017E-2</v>
      </c>
      <c r="I20" s="4">
        <f t="shared" si="8"/>
        <v>-1558.6502883200949</v>
      </c>
      <c r="J20" s="6">
        <f t="shared" si="9"/>
        <v>1.4844288460191379</v>
      </c>
      <c r="K20" s="6">
        <f t="shared" si="10"/>
        <v>0.92776802876196118</v>
      </c>
      <c r="L20" s="7">
        <v>5.7</v>
      </c>
      <c r="M20" s="6">
        <f t="shared" si="11"/>
        <v>0.57985501797622563</v>
      </c>
      <c r="N20" s="7"/>
    </row>
    <row r="21" spans="1:14" x14ac:dyDescent="0.25">
      <c r="E21" s="2">
        <v>5</v>
      </c>
      <c r="F21" s="2">
        <v>1.8</v>
      </c>
      <c r="G21" s="2">
        <f t="shared" si="6"/>
        <v>1.6847999999999999</v>
      </c>
      <c r="H21">
        <f t="shared" si="7"/>
        <v>-0.11520000000000019</v>
      </c>
      <c r="I21" s="4">
        <f t="shared" si="8"/>
        <v>-1968.8214168253826</v>
      </c>
      <c r="J21" s="6">
        <f t="shared" si="9"/>
        <v>1.8750680160241739</v>
      </c>
      <c r="K21" s="6">
        <f t="shared" si="10"/>
        <v>1.0417044533467632</v>
      </c>
      <c r="L21" s="7">
        <v>6.4</v>
      </c>
      <c r="M21" s="6">
        <f t="shared" si="11"/>
        <v>0.57872469630375734</v>
      </c>
      <c r="N21" s="7"/>
    </row>
    <row r="22" spans="1:14" x14ac:dyDescent="0.25">
      <c r="L22" s="6"/>
      <c r="M22" s="6">
        <f xml:space="preserve"> AVERAGE(M17:M21)</f>
        <v>0.58778664662645974</v>
      </c>
      <c r="N22" s="4"/>
    </row>
    <row r="23" spans="1:14" x14ac:dyDescent="0.25">
      <c r="L23" s="6"/>
      <c r="M23" s="6"/>
    </row>
    <row r="24" spans="1:14" x14ac:dyDescent="0.25">
      <c r="A24" t="s">
        <v>38</v>
      </c>
      <c r="M24" s="8"/>
      <c r="N24" s="1"/>
    </row>
    <row r="25" spans="1:14" x14ac:dyDescent="0.25">
      <c r="M25" s="6"/>
      <c r="N25" s="7"/>
    </row>
    <row r="26" spans="1:14" x14ac:dyDescent="0.25">
      <c r="A26" t="s">
        <v>34</v>
      </c>
      <c r="B26">
        <v>0.15</v>
      </c>
      <c r="C26" t="s">
        <v>15</v>
      </c>
      <c r="E26" s="1" t="s">
        <v>5</v>
      </c>
      <c r="F26" s="1" t="s">
        <v>6</v>
      </c>
      <c r="G26" s="1" t="s">
        <v>8</v>
      </c>
      <c r="H26" s="1" t="s">
        <v>22</v>
      </c>
      <c r="I26" s="1" t="s">
        <v>23</v>
      </c>
      <c r="J26" s="1" t="s">
        <v>2</v>
      </c>
      <c r="K26" s="1" t="s">
        <v>24</v>
      </c>
      <c r="L26" s="1" t="s">
        <v>1</v>
      </c>
      <c r="M26" s="6" t="s">
        <v>42</v>
      </c>
      <c r="N26" s="7"/>
    </row>
    <row r="27" spans="1:14" x14ac:dyDescent="0.25">
      <c r="E27" s="2">
        <v>1</v>
      </c>
      <c r="F27" s="2">
        <v>1</v>
      </c>
      <c r="G27" s="2">
        <f xml:space="preserve"> (1-L27/100)*F27</f>
        <v>0.95</v>
      </c>
      <c r="H27">
        <f xml:space="preserve"> G27-F27</f>
        <v>-5.0000000000000044E-2</v>
      </c>
      <c r="I27" s="4">
        <f xml:space="preserve"> H27/$B$11</f>
        <v>-854.52318438601617</v>
      </c>
      <c r="J27" s="6">
        <f xml:space="preserve"> -I27/((1-$B$4)*$B$2)</f>
        <v>0.81383160417715827</v>
      </c>
      <c r="K27" s="6">
        <f xml:space="preserve"> J27/F27</f>
        <v>0.81383160417715827</v>
      </c>
      <c r="L27" s="7">
        <v>5</v>
      </c>
      <c r="M27" s="6">
        <f xml:space="preserve"> J27/F27^2</f>
        <v>0.81383160417715827</v>
      </c>
      <c r="N27" s="7"/>
    </row>
    <row r="28" spans="1:14" x14ac:dyDescent="0.25">
      <c r="B28">
        <v>510</v>
      </c>
      <c r="C28" t="s">
        <v>0</v>
      </c>
      <c r="E28" s="2">
        <v>2</v>
      </c>
      <c r="F28" s="2">
        <v>1.2</v>
      </c>
      <c r="G28" s="2">
        <f t="shared" ref="G28:G31" si="12" xml:space="preserve"> (1-L28/100)*F28</f>
        <v>1.1279999999999999</v>
      </c>
      <c r="H28">
        <f t="shared" ref="H28:H31" si="13" xml:space="preserve"> G28-F28</f>
        <v>-7.2000000000000064E-2</v>
      </c>
      <c r="I28" s="4">
        <f t="shared" ref="I28:I31" si="14" xml:space="preserve"> H28/$B$11</f>
        <v>-1230.5133855158633</v>
      </c>
      <c r="J28" s="6">
        <f t="shared" ref="J28:J31" si="15" xml:space="preserve"> -I28/((1-$B$4)*$B$2)</f>
        <v>1.171917510015108</v>
      </c>
      <c r="K28" s="6">
        <f t="shared" ref="K28:K31" si="16" xml:space="preserve"> J28/F28</f>
        <v>0.97659792501259002</v>
      </c>
      <c r="L28" s="7">
        <v>6</v>
      </c>
      <c r="M28" s="6">
        <f t="shared" ref="M28:M31" si="17" xml:space="preserve"> J28/F28^2</f>
        <v>0.81383160417715839</v>
      </c>
      <c r="N28" s="7"/>
    </row>
    <row r="29" spans="1:14" x14ac:dyDescent="0.25">
      <c r="A29" t="s">
        <v>39</v>
      </c>
      <c r="B29" s="4">
        <f>B26*B28/298</f>
        <v>0.25671140939597314</v>
      </c>
      <c r="C29" t="s">
        <v>20</v>
      </c>
      <c r="E29" s="2">
        <v>3</v>
      </c>
      <c r="F29" s="2">
        <v>1.4</v>
      </c>
      <c r="G29" s="2">
        <f t="shared" si="12"/>
        <v>1.3033999999999999</v>
      </c>
      <c r="H29">
        <f t="shared" si="13"/>
        <v>-9.6600000000000019E-2</v>
      </c>
      <c r="I29" s="4">
        <f t="shared" si="14"/>
        <v>-1650.9387922337821</v>
      </c>
      <c r="J29" s="6">
        <f t="shared" si="15"/>
        <v>1.5723226592702686</v>
      </c>
      <c r="K29" s="6">
        <f t="shared" si="16"/>
        <v>1.1230876137644776</v>
      </c>
      <c r="L29" s="7">
        <v>6.9</v>
      </c>
      <c r="M29" s="6">
        <f t="shared" si="17"/>
        <v>0.80220543840319836</v>
      </c>
      <c r="N29" s="7"/>
    </row>
    <row r="30" spans="1:14" x14ac:dyDescent="0.25">
      <c r="A30" t="s">
        <v>19</v>
      </c>
      <c r="B30" s="4">
        <f>$B$3/B29</f>
        <v>2.7535135610875244E-5</v>
      </c>
      <c r="C30" t="s">
        <v>21</v>
      </c>
      <c r="E30" s="2">
        <v>4</v>
      </c>
      <c r="F30" s="2">
        <v>1.6</v>
      </c>
      <c r="G30" s="2">
        <f t="shared" si="12"/>
        <v>1.4752000000000001</v>
      </c>
      <c r="H30">
        <f t="shared" si="13"/>
        <v>-0.12480000000000002</v>
      </c>
      <c r="I30" s="4">
        <f t="shared" si="14"/>
        <v>-2132.8898682274948</v>
      </c>
      <c r="J30" s="6">
        <f t="shared" si="15"/>
        <v>2.0313236840261855</v>
      </c>
      <c r="K30" s="6">
        <f t="shared" si="16"/>
        <v>1.2695773025163659</v>
      </c>
      <c r="L30" s="7">
        <v>7.8</v>
      </c>
      <c r="M30" s="6">
        <f t="shared" si="17"/>
        <v>0.79348581407272856</v>
      </c>
      <c r="N30" s="4"/>
    </row>
    <row r="31" spans="1:14" x14ac:dyDescent="0.25">
      <c r="E31" s="2">
        <v>5</v>
      </c>
      <c r="F31" s="2">
        <v>1.8</v>
      </c>
      <c r="G31" s="2">
        <f t="shared" si="12"/>
        <v>1.6434000000000002</v>
      </c>
      <c r="H31">
        <f t="shared" si="13"/>
        <v>-0.15659999999999985</v>
      </c>
      <c r="I31" s="4">
        <f t="shared" si="14"/>
        <v>-2676.3666134969976</v>
      </c>
      <c r="J31" s="6">
        <f t="shared" si="15"/>
        <v>2.5489205842828548</v>
      </c>
      <c r="K31" s="6">
        <f t="shared" si="16"/>
        <v>1.4160669912682526</v>
      </c>
      <c r="L31" s="7">
        <v>8.6999999999999993</v>
      </c>
      <c r="M31" s="6">
        <f t="shared" si="17"/>
        <v>0.78670388403791813</v>
      </c>
    </row>
    <row r="32" spans="1:14" x14ac:dyDescent="0.25">
      <c r="E32" s="1"/>
      <c r="F32" s="1"/>
      <c r="G32" s="1"/>
      <c r="H32" s="1"/>
      <c r="I32" s="1"/>
      <c r="J32" s="1"/>
      <c r="K32" s="1"/>
      <c r="L32" s="1"/>
      <c r="M32" s="8"/>
      <c r="N32" s="1"/>
    </row>
    <row r="33" spans="2:14" x14ac:dyDescent="0.25">
      <c r="E33" s="2"/>
      <c r="F33" s="2"/>
      <c r="G33" s="2"/>
      <c r="I33" s="4"/>
      <c r="J33" s="6"/>
      <c r="K33" s="6"/>
      <c r="L33" s="7"/>
      <c r="M33" s="6"/>
    </row>
    <row r="34" spans="2:14" x14ac:dyDescent="0.25">
      <c r="E34" s="2"/>
      <c r="F34" s="2"/>
      <c r="G34" s="2"/>
      <c r="I34" s="4"/>
      <c r="J34" s="6"/>
      <c r="K34" s="6"/>
      <c r="L34" s="7"/>
      <c r="M34" s="6"/>
    </row>
    <row r="35" spans="2:14" x14ac:dyDescent="0.25">
      <c r="B35" s="4"/>
      <c r="E35" s="2"/>
      <c r="F35" s="2"/>
      <c r="G35" s="2"/>
      <c r="I35" s="4"/>
      <c r="J35" s="6"/>
      <c r="K35" s="6"/>
      <c r="L35" s="7"/>
      <c r="M35" s="6"/>
    </row>
    <row r="36" spans="2:14" x14ac:dyDescent="0.25">
      <c r="B36" s="4"/>
      <c r="E36" s="2"/>
      <c r="F36" s="2"/>
      <c r="G36" s="2"/>
      <c r="I36" s="4"/>
      <c r="J36" s="6"/>
      <c r="K36" s="6"/>
      <c r="L36" s="7"/>
      <c r="M36" s="6"/>
    </row>
    <row r="37" spans="2:14" x14ac:dyDescent="0.25">
      <c r="E37" s="2"/>
      <c r="F37" s="2"/>
      <c r="G37" s="2"/>
      <c r="I37" s="4"/>
      <c r="J37" s="6"/>
      <c r="K37" s="6"/>
      <c r="L37" s="7"/>
      <c r="M37" s="6"/>
    </row>
    <row r="38" spans="2:14" x14ac:dyDescent="0.25">
      <c r="L38" s="6"/>
      <c r="M38" s="6"/>
      <c r="N38" s="4"/>
    </row>
    <row r="39" spans="2:14" x14ac:dyDescent="0.25">
      <c r="L39" s="6"/>
      <c r="M39" s="6"/>
    </row>
    <row r="40" spans="2:14" x14ac:dyDescent="0.25">
      <c r="E40" s="1"/>
      <c r="F40" s="1"/>
      <c r="G40" s="1"/>
      <c r="H40" s="1"/>
      <c r="I40" s="1"/>
      <c r="J40" s="1"/>
      <c r="K40" s="1"/>
      <c r="L40" s="8"/>
      <c r="M40" s="8"/>
      <c r="N40" s="1"/>
    </row>
    <row r="41" spans="2:14" x14ac:dyDescent="0.25">
      <c r="E41" s="2"/>
      <c r="F41" s="2"/>
      <c r="G41" s="2"/>
      <c r="H41" s="2"/>
      <c r="I41" s="2"/>
      <c r="K41" s="4"/>
      <c r="L41" s="6"/>
      <c r="M41" s="6"/>
      <c r="N41" s="7"/>
    </row>
    <row r="42" spans="2:14" x14ac:dyDescent="0.25">
      <c r="E42" s="2"/>
      <c r="F42" s="2"/>
      <c r="G42" s="2"/>
      <c r="H42" s="2"/>
      <c r="I42" s="2"/>
      <c r="K42" s="4"/>
      <c r="L42" s="6"/>
      <c r="M42" s="6"/>
      <c r="N42" s="7"/>
    </row>
    <row r="43" spans="2:14" x14ac:dyDescent="0.25">
      <c r="B43" s="4"/>
      <c r="E43" s="2"/>
      <c r="F43" s="2"/>
      <c r="G43" s="2"/>
      <c r="H43" s="2"/>
      <c r="I43" s="2"/>
      <c r="K43" s="4"/>
      <c r="L43" s="6"/>
      <c r="M43" s="6"/>
      <c r="N43" s="7"/>
    </row>
    <row r="44" spans="2:14" x14ac:dyDescent="0.25">
      <c r="B44" s="4"/>
      <c r="E44" s="2"/>
      <c r="F44" s="2"/>
      <c r="G44" s="2"/>
      <c r="H44" s="2"/>
      <c r="I44" s="2"/>
      <c r="K44" s="4"/>
      <c r="L44" s="6"/>
      <c r="M44" s="6"/>
      <c r="N44" s="7"/>
    </row>
    <row r="45" spans="2:14" x14ac:dyDescent="0.25">
      <c r="E45" s="2"/>
      <c r="F45" s="2"/>
      <c r="G45" s="2"/>
      <c r="H45" s="2"/>
      <c r="I45" s="2"/>
      <c r="K45" s="4"/>
      <c r="L45" s="6"/>
      <c r="M45" s="6"/>
      <c r="N45" s="7"/>
    </row>
    <row r="46" spans="2:14" x14ac:dyDescent="0.25">
      <c r="N46" s="4"/>
    </row>
    <row r="49" spans="1:4" x14ac:dyDescent="0.25">
      <c r="A49" t="s">
        <v>31</v>
      </c>
      <c r="B49" t="s">
        <v>25</v>
      </c>
      <c r="C49" t="s">
        <v>26</v>
      </c>
      <c r="D49" s="5" t="s">
        <v>27</v>
      </c>
    </row>
    <row r="50" spans="1:4" x14ac:dyDescent="0.25">
      <c r="A50">
        <v>450</v>
      </c>
      <c r="B50" s="6">
        <f xml:space="preserve"> $M$13</f>
        <v>0.32553264167086327</v>
      </c>
      <c r="C50" s="6">
        <f>LN(B50)</f>
        <v>-1.1222925407304634</v>
      </c>
      <c r="D50">
        <f>-1/A50</f>
        <v>-2.2222222222222222E-3</v>
      </c>
    </row>
    <row r="51" spans="1:4" x14ac:dyDescent="0.25">
      <c r="A51">
        <v>480</v>
      </c>
      <c r="B51" s="6">
        <v>0.59</v>
      </c>
      <c r="C51" s="6">
        <f t="shared" ref="C51:C52" si="18">LN(B51)</f>
        <v>-0.52763274208237199</v>
      </c>
      <c r="D51">
        <f t="shared" ref="D51:D52" si="19">-1/A51</f>
        <v>-2.0833333333333333E-3</v>
      </c>
    </row>
    <row r="52" spans="1:4" x14ac:dyDescent="0.25">
      <c r="A52">
        <v>510</v>
      </c>
      <c r="B52" s="6">
        <v>0.8</v>
      </c>
      <c r="C52" s="6">
        <f t="shared" si="18"/>
        <v>-0.22314355131420971</v>
      </c>
      <c r="D52">
        <f t="shared" si="19"/>
        <v>-1.9607843137254902E-3</v>
      </c>
    </row>
    <row r="56" spans="1:4" x14ac:dyDescent="0.25">
      <c r="A56" t="s">
        <v>28</v>
      </c>
      <c r="B56" s="6">
        <v>3457.9</v>
      </c>
      <c r="D56">
        <f xml:space="preserve"> B56*8.314</f>
        <v>28748.980600000003</v>
      </c>
    </row>
    <row r="57" spans="1:4" x14ac:dyDescent="0.25">
      <c r="A57" t="s">
        <v>29</v>
      </c>
      <c r="B57" s="6">
        <v>6.5983999999999998</v>
      </c>
    </row>
    <row r="58" spans="1:4" x14ac:dyDescent="0.25">
      <c r="A58" t="s">
        <v>30</v>
      </c>
      <c r="B58" s="4">
        <f>EXP(B57)</f>
        <v>733.91997735940356</v>
      </c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6F4D-CDEA-4000-872D-AF4AB51AB1D8}">
  <dimension ref="A1:N78"/>
  <sheetViews>
    <sheetView topLeftCell="F2" zoomScale="109" zoomScaleNormal="120" workbookViewId="0">
      <selection activeCell="R41" sqref="R41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3.0000000000000001E-6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1.18E-7</v>
      </c>
      <c r="C3" t="s">
        <v>17</v>
      </c>
      <c r="D3" s="1"/>
      <c r="E3" s="1"/>
      <c r="F3" s="1"/>
    </row>
    <row r="4" spans="1:14" x14ac:dyDescent="0.25">
      <c r="A4" s="3" t="s">
        <v>32</v>
      </c>
      <c r="B4" s="4">
        <v>0.4</v>
      </c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-0.92560288931862222</v>
      </c>
      <c r="L7" s="6">
        <f>-K7/(1-$B$4)</f>
        <v>1.5426714821977037</v>
      </c>
      <c r="M7" s="6">
        <f>L7/F7</f>
        <v>2.0568953095969382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-1.2621857581617575</v>
      </c>
      <c r="L8" s="6">
        <f t="shared" ref="L8:L11" si="2">-K8/(1-$B$4)</f>
        <v>2.1036429302695958</v>
      </c>
      <c r="M8" s="6">
        <f t="shared" ref="M8:M11" si="3">L8/F8</f>
        <v>2.1036429302695958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4.9645973154362418E-6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-1.5146229097941091</v>
      </c>
      <c r="L9" s="6">
        <f t="shared" si="2"/>
        <v>2.5243715163235154</v>
      </c>
      <c r="M9" s="6">
        <f t="shared" si="3"/>
        <v>2.0194972130588122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2.3768292270776301E-2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-1.8512057786372444</v>
      </c>
      <c r="L10" s="6">
        <f t="shared" si="2"/>
        <v>3.0853429643954073</v>
      </c>
      <c r="M10" s="6">
        <f t="shared" si="3"/>
        <v>2.0568953095969382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-2.1457157888749832</v>
      </c>
      <c r="L11" s="6">
        <f t="shared" si="2"/>
        <v>3.5761929814583056</v>
      </c>
      <c r="M11" s="6">
        <f t="shared" si="3"/>
        <v>2.043538846547603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-1.6198285178022993</v>
      </c>
      <c r="L15" s="6">
        <f>-K15/(1-$B$4)</f>
        <v>2.6997141963371658</v>
      </c>
      <c r="M15" s="6">
        <f>L15/F15</f>
        <v>3.5996189284495546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-2.1889574564895935</v>
      </c>
      <c r="L16" s="6">
        <f t="shared" ref="L16:L19" si="7">-K16/(1-$B$4)</f>
        <v>3.6482624274826558</v>
      </c>
      <c r="M16" s="6">
        <f t="shared" ref="M16:M19" si="8">L16/F16</f>
        <v>3.6482624274826558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5.1659395973154363E-6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-2.7143072460470963</v>
      </c>
      <c r="L17" s="6">
        <f t="shared" si="7"/>
        <v>4.5238454100784944</v>
      </c>
      <c r="M17" s="6">
        <f t="shared" si="8"/>
        <v>3.6190763280627953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2.2841924063789015E-2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-3.2834361847343856</v>
      </c>
      <c r="L18" s="6">
        <f t="shared" si="7"/>
        <v>5.4723936412239764</v>
      </c>
      <c r="M18" s="6">
        <f t="shared" si="8"/>
        <v>3.6482624274826509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-3.8087859742918879</v>
      </c>
      <c r="L19" s="6">
        <f t="shared" si="7"/>
        <v>6.3479766238198136</v>
      </c>
      <c r="M19" s="6">
        <f t="shared" si="8"/>
        <v>3.627415213611322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-2.1889574564895935</v>
      </c>
      <c r="L23" s="6">
        <f>-K23/(1-$B$4)</f>
        <v>3.6482624274826558</v>
      </c>
      <c r="M23" s="6">
        <f>L23/F23</f>
        <v>3.6482624274826558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-2.1889574564895935</v>
      </c>
      <c r="L24" s="6">
        <f t="shared" ref="L24:L27" si="12">-K24/(1-$B$4)</f>
        <v>3.6482624274826558</v>
      </c>
      <c r="M24" s="6">
        <f t="shared" ref="M24:M27" si="13">L24/F24</f>
        <v>3.6482624274826558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5.1659395973154363E-6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-2.1889574564895935</v>
      </c>
      <c r="L25" s="6">
        <f t="shared" si="12"/>
        <v>3.6482624274826558</v>
      </c>
      <c r="M25" s="6">
        <f t="shared" si="13"/>
        <v>3.6482624274826558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2.2841924063789015E-2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-2.1889574564895935</v>
      </c>
      <c r="L26" s="6">
        <f t="shared" si="12"/>
        <v>3.6482624274826558</v>
      </c>
      <c r="M26" s="6">
        <f t="shared" si="13"/>
        <v>3.6482624274826558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-2.1889574564895935</v>
      </c>
      <c r="L27" s="6">
        <f t="shared" si="12"/>
        <v>3.6482624274826558</v>
      </c>
      <c r="M27" s="6">
        <f t="shared" si="13"/>
        <v>3.6482624274826558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-2.7746118189057016</v>
      </c>
      <c r="L31" s="6">
        <f>-K31/(1-$B$4)</f>
        <v>4.6243530315095027</v>
      </c>
      <c r="M31" s="6">
        <f>L31/F31</f>
        <v>6.1658040420126703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-3.7298060516437248</v>
      </c>
      <c r="L32" s="6">
        <f t="shared" ref="L32:L35" si="17">-K32/(1-$B$4)</f>
        <v>6.2163434194062086</v>
      </c>
      <c r="M32" s="6">
        <f t="shared" ref="M32:M35" si="18">L32/F32</f>
        <v>6.2163434194062086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5.3672818791946307E-6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-4.6395148447275663</v>
      </c>
      <c r="L33" s="6">
        <f t="shared" si="17"/>
        <v>7.732524741212611</v>
      </c>
      <c r="M33" s="6">
        <f t="shared" si="18"/>
        <v>6.1860197929700886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2.1985057363468691E-2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-5.5947090774655903</v>
      </c>
      <c r="L34" s="6">
        <f t="shared" si="17"/>
        <v>9.3245151291093169</v>
      </c>
      <c r="M34" s="6">
        <f t="shared" si="18"/>
        <v>6.2163434194062113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-6.5044178705494264</v>
      </c>
      <c r="L35" s="6">
        <f t="shared" si="17"/>
        <v>10.840696450915711</v>
      </c>
      <c r="M35" s="6">
        <f t="shared" si="18"/>
        <v>6.1946836862375489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2.093</v>
      </c>
      <c r="C40" s="6">
        <f>LN(B40)</f>
        <v>0.73859844346386272</v>
      </c>
      <c r="D40">
        <f>-1/A40</f>
        <v>-2.0277805941397143E-3</v>
      </c>
    </row>
    <row r="41" spans="1:14" x14ac:dyDescent="0.25">
      <c r="A41">
        <v>513.15</v>
      </c>
      <c r="B41" s="6">
        <v>3.7208000000000001</v>
      </c>
      <c r="C41" s="6">
        <f t="shared" ref="C41:C42" si="20">LN(B41)</f>
        <v>1.3139386989277502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6.4627999999999997</v>
      </c>
      <c r="C42" s="6">
        <f t="shared" si="20"/>
        <v>1.8660626604205384</v>
      </c>
      <c r="D42">
        <f t="shared" si="21"/>
        <v>-1.8756447528838038E-3</v>
      </c>
    </row>
    <row r="46" spans="1:14" x14ac:dyDescent="0.25">
      <c r="A46" t="s">
        <v>28</v>
      </c>
      <c r="B46" s="6">
        <v>7409.1</v>
      </c>
    </row>
    <row r="47" spans="1:14" x14ac:dyDescent="0.25">
      <c r="A47" t="s">
        <v>29</v>
      </c>
      <c r="B47" s="6">
        <v>15.759</v>
      </c>
    </row>
    <row r="48" spans="1:14" x14ac:dyDescent="0.25">
      <c r="A48" t="s">
        <v>30</v>
      </c>
      <c r="B48" s="4">
        <f>EXP(B47)</f>
        <v>6983075.5437024962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 (2)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2023-12-01T09:50:33Z</dcterms:created>
  <dcterms:modified xsi:type="dcterms:W3CDTF">2024-02-16T22:58:22Z</dcterms:modified>
</cp:coreProperties>
</file>