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UNI - studio\Corsi\Laurea Magistrale\Anno 6\Secondo semestre\Process System Engineering\A\Esercitazioni\"/>
    </mc:Choice>
  </mc:AlternateContent>
  <xr:revisionPtr revIDLastSave="0" documentId="13_ncr:1_{906642BA-35C5-431A-9D96-052E8359DE5A}" xr6:coauthVersionLast="47" xr6:coauthVersionMax="47" xr10:uidLastSave="{00000000-0000-0000-0000-000000000000}"/>
  <bookViews>
    <workbookView xWindow="-108" yWindow="-108" windowWidth="23256" windowHeight="13896" activeTab="3" xr2:uid="{00000000-000D-0000-FFFF-FFFF00000000}"/>
  </bookViews>
  <sheets>
    <sheet name="600°C" sheetId="1" r:id="rId1"/>
    <sheet name="650°C" sheetId="2" r:id="rId2"/>
    <sheet name="700°C" sheetId="3" r:id="rId3"/>
    <sheet name="750°C" sheetId="4" r:id="rId4"/>
  </sheets>
  <calcPr calcId="191029" iterateDelta="1E-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J15" i="1"/>
  <c r="J13" i="1"/>
  <c r="J16" i="2"/>
  <c r="J15" i="2"/>
  <c r="J13" i="2"/>
  <c r="J16" i="3"/>
  <c r="J15" i="3"/>
  <c r="J13" i="3"/>
  <c r="J16" i="4"/>
  <c r="J15" i="4"/>
  <c r="J13" i="4"/>
  <c r="F32" i="4"/>
  <c r="F31" i="4"/>
  <c r="F30" i="4"/>
  <c r="F32" i="3"/>
  <c r="F31" i="3"/>
  <c r="F30" i="3"/>
  <c r="F32" i="2"/>
  <c r="F31" i="2"/>
  <c r="F30" i="2"/>
  <c r="F31" i="1"/>
  <c r="F32" i="1"/>
  <c r="F30" i="1"/>
  <c r="G27" i="1" l="1"/>
  <c r="F27" i="1"/>
  <c r="G26" i="1"/>
  <c r="F26" i="1"/>
  <c r="G25" i="1"/>
  <c r="F25" i="1"/>
  <c r="G27" i="2"/>
  <c r="F27" i="2"/>
  <c r="G26" i="2"/>
  <c r="F26" i="2"/>
  <c r="G25" i="2"/>
  <c r="F25" i="2"/>
  <c r="G27" i="3"/>
  <c r="F27" i="3"/>
  <c r="G26" i="3"/>
  <c r="F26" i="3"/>
  <c r="G25" i="3"/>
  <c r="F25" i="3"/>
  <c r="G26" i="4"/>
  <c r="G27" i="4"/>
  <c r="G25" i="4"/>
  <c r="F26" i="4"/>
  <c r="F27" i="4"/>
  <c r="F25" i="4"/>
  <c r="C27" i="4"/>
  <c r="D27" i="4" s="1"/>
  <c r="E27" i="4" s="1"/>
  <c r="C26" i="4"/>
  <c r="D26" i="4" s="1"/>
  <c r="E26" i="4" s="1"/>
  <c r="C25" i="4"/>
  <c r="D25" i="4"/>
  <c r="E25" i="4" s="1"/>
  <c r="C27" i="3"/>
  <c r="C26" i="3"/>
  <c r="D26" i="3" s="1"/>
  <c r="E26" i="3" s="1"/>
  <c r="C25" i="3"/>
  <c r="D25" i="3" s="1"/>
  <c r="E25" i="3" s="1"/>
  <c r="C27" i="2"/>
  <c r="C26" i="2"/>
  <c r="C25" i="2"/>
  <c r="D25" i="2" s="1"/>
  <c r="E25" i="2" s="1"/>
  <c r="C22" i="4"/>
  <c r="C21" i="4"/>
  <c r="D27" i="3"/>
  <c r="E27" i="3" s="1"/>
  <c r="C22" i="3"/>
  <c r="C21" i="3"/>
  <c r="D27" i="2"/>
  <c r="E27" i="2" s="1"/>
  <c r="D26" i="2"/>
  <c r="E26" i="2" s="1"/>
  <c r="C22" i="2"/>
  <c r="C21" i="2"/>
  <c r="E26" i="1"/>
  <c r="E27" i="1"/>
  <c r="E25" i="1"/>
  <c r="D26" i="1"/>
  <c r="D27" i="1"/>
  <c r="D25" i="1"/>
  <c r="C27" i="1"/>
  <c r="C26" i="1"/>
  <c r="C25" i="1"/>
  <c r="C22" i="1"/>
  <c r="C21" i="1"/>
  <c r="E13" i="3"/>
  <c r="E13" i="2"/>
  <c r="E13" i="1"/>
  <c r="E13" i="4"/>
  <c r="F13" i="4" s="1"/>
  <c r="G16" i="3"/>
  <c r="G13" i="3"/>
  <c r="D13" i="1"/>
  <c r="G13" i="1" s="1"/>
  <c r="D16" i="4"/>
  <c r="G16" i="4" s="1"/>
  <c r="D15" i="4"/>
  <c r="G15" i="4" s="1"/>
  <c r="D13" i="4"/>
  <c r="G13" i="4" s="1"/>
  <c r="E16" i="4"/>
  <c r="E15" i="4"/>
  <c r="D16" i="3"/>
  <c r="D15" i="3"/>
  <c r="G15" i="3" s="1"/>
  <c r="D13" i="3"/>
  <c r="E16" i="3"/>
  <c r="E15" i="3"/>
  <c r="D16" i="2"/>
  <c r="G16" i="2" s="1"/>
  <c r="D15" i="2"/>
  <c r="G15" i="2" s="1"/>
  <c r="D13" i="2"/>
  <c r="G13" i="2" s="1"/>
  <c r="E16" i="2"/>
  <c r="E15" i="2"/>
  <c r="E16" i="1"/>
  <c r="E15" i="1"/>
  <c r="D16" i="1"/>
  <c r="G16" i="1" s="1"/>
  <c r="D15" i="1"/>
  <c r="F13" i="1" l="1"/>
  <c r="F15" i="1"/>
  <c r="F15" i="4"/>
  <c r="F13" i="2"/>
  <c r="G15" i="1"/>
  <c r="F16" i="1"/>
  <c r="F16" i="2"/>
  <c r="F13" i="3"/>
  <c r="F15" i="3"/>
  <c r="F16" i="3"/>
  <c r="F16" i="4"/>
  <c r="F15" i="2"/>
</calcChain>
</file>

<file path=xl/sharedStrings.xml><?xml version="1.0" encoding="utf-8"?>
<sst xmlns="http://schemas.openxmlformats.org/spreadsheetml/2006/main" count="148" uniqueCount="31">
  <si>
    <t>W/m2/K</t>
  </si>
  <si>
    <t>Tin</t>
  </si>
  <si>
    <t>°C</t>
  </si>
  <si>
    <t>Tout</t>
  </si>
  <si>
    <t>Tout_stab</t>
  </si>
  <si>
    <t>Product</t>
  </si>
  <si>
    <t>Recycle</t>
  </si>
  <si>
    <t>DTlm</t>
  </si>
  <si>
    <t>CONDENSERS:</t>
  </si>
  <si>
    <t>c,H2O</t>
  </si>
  <si>
    <t>J/kg/°C</t>
  </si>
  <si>
    <t>Stabilizer IN</t>
  </si>
  <si>
    <t>Stabilizer OUT</t>
  </si>
  <si>
    <t>Duty (HYSYS) [W]</t>
  </si>
  <si>
    <t>A [ft2]</t>
  </si>
  <si>
    <t>Tcond (HYSYS) [°C]</t>
  </si>
  <si>
    <t>mH2O [kg/s]</t>
  </si>
  <si>
    <t>P [bar]</t>
  </si>
  <si>
    <t>REBOILERS:</t>
  </si>
  <si>
    <t>Delta H steam (HYSYS) [J/kg]</t>
  </si>
  <si>
    <t>Stabilizer</t>
  </si>
  <si>
    <t>Uc</t>
  </si>
  <si>
    <t>Ur*DeltaT</t>
  </si>
  <si>
    <t>Btu/ft2/h</t>
  </si>
  <si>
    <t>Duty [Btu/h]</t>
  </si>
  <si>
    <t>Wsteam LP [kg/s]</t>
  </si>
  <si>
    <t>Wsteam HP [kg/s]</t>
  </si>
  <si>
    <t>Wsteam LP [lb/s]</t>
  </si>
  <si>
    <t>mH2O [USgal/s]</t>
  </si>
  <si>
    <t>rho,H2O</t>
  </si>
  <si>
    <t>kg/m3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</si>
</sst>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0" fillId="2" borderId="3" xfId="0" applyFill="1" applyBorder="1"/>
    <xf numFmtId="0" fontId="0" fillId="0" borderId="8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168" fontId="0" fillId="0" borderId="8" xfId="0" applyNumberFormat="1" applyBorder="1" applyAlignment="1">
      <alignment horizontal="right" vertical="center"/>
    </xf>
    <xf numFmtId="168" fontId="0" fillId="0" borderId="6" xfId="0" applyNumberFormat="1" applyBorder="1" applyAlignment="1">
      <alignment horizontal="right" vertical="center"/>
    </xf>
    <xf numFmtId="168" fontId="0" fillId="0" borderId="3" xfId="0" applyNumberFormat="1" applyBorder="1"/>
    <xf numFmtId="168" fontId="0" fillId="0" borderId="7" xfId="0" applyNumberFormat="1" applyBorder="1"/>
    <xf numFmtId="168" fontId="0" fillId="0" borderId="5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2"/>
  <sheetViews>
    <sheetView zoomScaleNormal="100" workbookViewId="0">
      <selection activeCell="F13" sqref="F13:F16"/>
    </sheetView>
  </sheetViews>
  <sheetFormatPr defaultRowHeight="14.4" x14ac:dyDescent="0.3"/>
  <cols>
    <col min="2" max="2" width="12.33203125" customWidth="1"/>
    <col min="3" max="3" width="10.6640625" customWidth="1"/>
    <col min="4" max="4" width="11.21875" customWidth="1"/>
    <col min="5" max="5" width="12.44140625" customWidth="1"/>
    <col min="6" max="6" width="14.44140625" customWidth="1"/>
    <col min="7" max="7" width="15.5546875" customWidth="1"/>
    <col min="10" max="10" width="13.88671875" customWidth="1"/>
  </cols>
  <sheetData>
    <row r="2" spans="1:15" s="2" customFormat="1" x14ac:dyDescent="0.3">
      <c r="A2" s="1" t="s">
        <v>8</v>
      </c>
    </row>
    <row r="4" spans="1:15" x14ac:dyDescent="0.3">
      <c r="B4" t="s">
        <v>21</v>
      </c>
      <c r="C4">
        <v>580</v>
      </c>
      <c r="D4" t="s">
        <v>0</v>
      </c>
      <c r="M4" t="s">
        <v>9</v>
      </c>
      <c r="N4">
        <v>4186</v>
      </c>
      <c r="O4" t="s">
        <v>10</v>
      </c>
    </row>
    <row r="6" spans="1:15" x14ac:dyDescent="0.3">
      <c r="B6" t="s">
        <v>1</v>
      </c>
      <c r="C6">
        <v>30</v>
      </c>
      <c r="D6" t="s">
        <v>2</v>
      </c>
      <c r="M6" t="s">
        <v>29</v>
      </c>
      <c r="N6">
        <v>1000</v>
      </c>
      <c r="O6" t="s">
        <v>30</v>
      </c>
    </row>
    <row r="7" spans="1:15" x14ac:dyDescent="0.3">
      <c r="B7" t="s">
        <v>3</v>
      </c>
      <c r="C7">
        <v>50</v>
      </c>
      <c r="D7" t="s">
        <v>2</v>
      </c>
    </row>
    <row r="9" spans="1:15" x14ac:dyDescent="0.3">
      <c r="B9" t="s">
        <v>4</v>
      </c>
      <c r="C9">
        <v>38</v>
      </c>
      <c r="D9" t="s">
        <v>2</v>
      </c>
    </row>
    <row r="12" spans="1:15" x14ac:dyDescent="0.3">
      <c r="C12" s="7" t="s">
        <v>15</v>
      </c>
      <c r="D12" s="7" t="s">
        <v>13</v>
      </c>
      <c r="E12" s="9" t="s">
        <v>7</v>
      </c>
      <c r="F12" s="7" t="s">
        <v>14</v>
      </c>
      <c r="G12" s="8" t="s">
        <v>16</v>
      </c>
      <c r="J12" s="8" t="s">
        <v>28</v>
      </c>
    </row>
    <row r="13" spans="1:15" x14ac:dyDescent="0.3">
      <c r="B13" s="10" t="s">
        <v>11</v>
      </c>
      <c r="C13" s="4">
        <v>95.5</v>
      </c>
      <c r="D13" s="13">
        <f>445391.88/3600*1000</f>
        <v>123719.96666666666</v>
      </c>
      <c r="E13" s="13">
        <f>((C13-$C$9)-(C14-$C$6))/LN((C13-$C$9)/(C14-$C$6))</f>
        <v>27.155273235018431</v>
      </c>
      <c r="F13" s="15">
        <f>D13/E13/$C$4*(100/2.54/12)^2</f>
        <v>84.552742452436561</v>
      </c>
      <c r="G13" s="13">
        <f>D13/$N$4/($C$7-$C$6)</f>
        <v>1.4777826883261667</v>
      </c>
      <c r="J13" s="15">
        <f>G13/$N$6*1000/3.785411784</f>
        <v>0.39038888571446545</v>
      </c>
    </row>
    <row r="14" spans="1:15" x14ac:dyDescent="0.3">
      <c r="B14" s="6" t="s">
        <v>12</v>
      </c>
      <c r="C14" s="5">
        <v>40</v>
      </c>
      <c r="D14" s="14"/>
      <c r="E14" s="14"/>
      <c r="F14" s="16"/>
      <c r="G14" s="14"/>
      <c r="J14" s="16"/>
    </row>
    <row r="15" spans="1:15" x14ac:dyDescent="0.3">
      <c r="B15" s="8" t="s">
        <v>5</v>
      </c>
      <c r="C15" s="7">
        <v>79.62</v>
      </c>
      <c r="D15" s="7">
        <f>20988020.56*1000/3600</f>
        <v>5830005.7111111116</v>
      </c>
      <c r="E15" s="8">
        <f>((C15-$C$7)-(C15-$C$6))/LN((C15-$C$7)/(C15-$C$6))</f>
        <v>38.763884127865829</v>
      </c>
      <c r="F15" s="18">
        <f>D15/E15/$C$4*(100/2.54/12)^2</f>
        <v>2791.1538427557457</v>
      </c>
      <c r="G15" s="8">
        <f>D15/$N$4/($C$7-$C$6)</f>
        <v>69.636953071083511</v>
      </c>
      <c r="J15" s="17">
        <f>G15/$N$6*1000/3.785411784</f>
        <v>18.396136812756197</v>
      </c>
    </row>
    <row r="16" spans="1:15" s="3" customFormat="1" x14ac:dyDescent="0.3">
      <c r="B16" s="6" t="s">
        <v>6</v>
      </c>
      <c r="C16" s="5">
        <v>109.4</v>
      </c>
      <c r="D16" s="5">
        <f>3015276.61*1000/3600</f>
        <v>837576.8361111111</v>
      </c>
      <c r="E16" s="6">
        <f>((C16-$C$7)-(C16-$C$6))/LN((C16-$C$7)/(C16-$C$6))</f>
        <v>68.917003975637769</v>
      </c>
      <c r="F16" s="19">
        <f>D16/E16/$C$4*(100/2.54/12)^2</f>
        <v>225.54871129152298</v>
      </c>
      <c r="G16" s="6">
        <f>D16/$N$4/($C$7-$C$6)</f>
        <v>10.004501148006582</v>
      </c>
      <c r="J16" s="17">
        <f>G16/$N$6*1000/3.785411784</f>
        <v>2.642909601088351</v>
      </c>
    </row>
    <row r="17" spans="1:8" s="11" customFormat="1" x14ac:dyDescent="0.3"/>
    <row r="18" spans="1:8" x14ac:dyDescent="0.3">
      <c r="A18" s="1" t="s">
        <v>18</v>
      </c>
    </row>
    <row r="20" spans="1:8" x14ac:dyDescent="0.3">
      <c r="B20" t="s">
        <v>17</v>
      </c>
      <c r="C20" t="s">
        <v>19</v>
      </c>
      <c r="F20" t="s">
        <v>22</v>
      </c>
      <c r="G20">
        <v>11250</v>
      </c>
      <c r="H20" t="s">
        <v>23</v>
      </c>
    </row>
    <row r="21" spans="1:8" x14ac:dyDescent="0.3">
      <c r="B21">
        <v>30</v>
      </c>
      <c r="C21">
        <f>6459940.12/3600*1000</f>
        <v>1794427.8111111112</v>
      </c>
    </row>
    <row r="22" spans="1:8" x14ac:dyDescent="0.3">
      <c r="B22">
        <v>70</v>
      </c>
      <c r="C22">
        <f>5423239.27/3600*1000</f>
        <v>1506455.3527777777</v>
      </c>
    </row>
    <row r="24" spans="1:8" x14ac:dyDescent="0.3">
      <c r="C24" s="8" t="s">
        <v>13</v>
      </c>
      <c r="D24" s="8" t="s">
        <v>24</v>
      </c>
      <c r="E24" s="8" t="s">
        <v>14</v>
      </c>
      <c r="F24" s="8" t="s">
        <v>25</v>
      </c>
      <c r="G24" s="8" t="s">
        <v>26</v>
      </c>
    </row>
    <row r="25" spans="1:8" x14ac:dyDescent="0.3">
      <c r="B25" s="7" t="s">
        <v>20</v>
      </c>
      <c r="C25" s="8">
        <f>2649876.98/3600*1000</f>
        <v>736076.93888888892</v>
      </c>
      <c r="D25" s="8">
        <f>C25/1054.35*3600</f>
        <v>2513280.2010717508</v>
      </c>
      <c r="E25" s="17">
        <f>D25/$G$20</f>
        <v>223.40268453971117</v>
      </c>
      <c r="F25" s="12">
        <f>C25/$C$21</f>
        <v>0.41020147722360001</v>
      </c>
      <c r="G25" s="8">
        <f>C25/$C$22</f>
        <v>0.48861517039427993</v>
      </c>
    </row>
    <row r="26" spans="1:8" x14ac:dyDescent="0.3">
      <c r="B26" s="7" t="s">
        <v>5</v>
      </c>
      <c r="C26" s="8">
        <f>17961100.51/3600*1000</f>
        <v>4989194.5861111116</v>
      </c>
      <c r="D26" s="8">
        <f t="shared" ref="D26:D27" si="0">C26/1054.35*3600</f>
        <v>17035235.462607298</v>
      </c>
      <c r="E26" s="17">
        <f t="shared" ref="E26:E27" si="1">D26/$G$20</f>
        <v>1514.2431522317597</v>
      </c>
      <c r="F26" s="12">
        <f t="shared" ref="F26:F27" si="2">C26/$C$21</f>
        <v>2.7803818884314984</v>
      </c>
      <c r="G26" s="8">
        <f t="shared" ref="G26:G27" si="3">C26/$C$22</f>
        <v>3.3118768351889445</v>
      </c>
    </row>
    <row r="27" spans="1:8" x14ac:dyDescent="0.3">
      <c r="B27" s="5" t="s">
        <v>6</v>
      </c>
      <c r="C27" s="8">
        <f>3244031.84/3600*1000</f>
        <v>901119.95555555553</v>
      </c>
      <c r="D27" s="8">
        <f t="shared" si="0"/>
        <v>3076807.3599848249</v>
      </c>
      <c r="E27" s="17">
        <f t="shared" si="1"/>
        <v>273.49398755420668</v>
      </c>
      <c r="F27" s="12">
        <f t="shared" si="2"/>
        <v>0.5021767663072394</v>
      </c>
      <c r="G27" s="8">
        <f t="shared" si="3"/>
        <v>0.59817236129432294</v>
      </c>
    </row>
    <row r="29" spans="1:8" x14ac:dyDescent="0.3">
      <c r="F29" s="8" t="s">
        <v>27</v>
      </c>
    </row>
    <row r="30" spans="1:8" x14ac:dyDescent="0.3">
      <c r="F30" s="17">
        <f>F25/0.45359237</f>
        <v>0.90433945620293388</v>
      </c>
    </row>
    <row r="31" spans="1:8" x14ac:dyDescent="0.3">
      <c r="F31" s="17">
        <f>F26/0.45359237</f>
        <v>6.1296928086147</v>
      </c>
    </row>
    <row r="32" spans="1:8" x14ac:dyDescent="0.3">
      <c r="F32" s="17">
        <f>F27/0.45359237</f>
        <v>1.1071102591678061</v>
      </c>
    </row>
  </sheetData>
  <mergeCells count="5">
    <mergeCell ref="E13:E14"/>
    <mergeCell ref="D13:D14"/>
    <mergeCell ref="G13:G14"/>
    <mergeCell ref="F13:F14"/>
    <mergeCell ref="J13:J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CFCF5-0192-432D-AB93-A8A188C84CD3}">
  <dimension ref="A2:O32"/>
  <sheetViews>
    <sheetView zoomScaleNormal="100" workbookViewId="0">
      <selection activeCell="F13" sqref="F13:F16"/>
    </sheetView>
  </sheetViews>
  <sheetFormatPr defaultRowHeight="14.4" x14ac:dyDescent="0.3"/>
  <cols>
    <col min="2" max="2" width="12" customWidth="1"/>
    <col min="3" max="4" width="12.33203125" customWidth="1"/>
    <col min="5" max="5" width="11.6640625" customWidth="1"/>
    <col min="6" max="6" width="15" customWidth="1"/>
    <col min="7" max="7" width="15.44140625" customWidth="1"/>
    <col min="10" max="10" width="14.109375" customWidth="1"/>
  </cols>
  <sheetData>
    <row r="2" spans="1:15" s="2" customFormat="1" x14ac:dyDescent="0.3">
      <c r="A2" s="1" t="s">
        <v>8</v>
      </c>
    </row>
    <row r="4" spans="1:15" x14ac:dyDescent="0.3">
      <c r="B4" t="s">
        <v>21</v>
      </c>
      <c r="C4">
        <v>580</v>
      </c>
      <c r="D4" t="s">
        <v>0</v>
      </c>
      <c r="M4" t="s">
        <v>9</v>
      </c>
      <c r="N4">
        <v>4186</v>
      </c>
      <c r="O4" t="s">
        <v>10</v>
      </c>
    </row>
    <row r="6" spans="1:15" x14ac:dyDescent="0.3">
      <c r="B6" t="s">
        <v>1</v>
      </c>
      <c r="C6">
        <v>30</v>
      </c>
      <c r="D6" t="s">
        <v>2</v>
      </c>
      <c r="M6" t="s">
        <v>29</v>
      </c>
      <c r="N6">
        <v>1000</v>
      </c>
      <c r="O6" t="s">
        <v>30</v>
      </c>
    </row>
    <row r="7" spans="1:15" x14ac:dyDescent="0.3">
      <c r="B7" t="s">
        <v>3</v>
      </c>
      <c r="C7">
        <v>50</v>
      </c>
      <c r="D7" t="s">
        <v>2</v>
      </c>
    </row>
    <row r="9" spans="1:15" x14ac:dyDescent="0.3">
      <c r="B9" t="s">
        <v>4</v>
      </c>
      <c r="C9">
        <v>38</v>
      </c>
      <c r="D9" t="s">
        <v>2</v>
      </c>
    </row>
    <row r="12" spans="1:15" x14ac:dyDescent="0.3">
      <c r="C12" s="7" t="s">
        <v>15</v>
      </c>
      <c r="D12" s="7" t="s">
        <v>13</v>
      </c>
      <c r="E12" s="9" t="s">
        <v>7</v>
      </c>
      <c r="F12" s="7" t="s">
        <v>14</v>
      </c>
      <c r="G12" s="8" t="s">
        <v>16</v>
      </c>
      <c r="J12" s="8" t="s">
        <v>28</v>
      </c>
    </row>
    <row r="13" spans="1:15" x14ac:dyDescent="0.3">
      <c r="B13" s="10" t="s">
        <v>11</v>
      </c>
      <c r="C13" s="4">
        <v>96.19</v>
      </c>
      <c r="D13" s="13">
        <f>444326.54/3600*1000</f>
        <v>123424.03888888888</v>
      </c>
      <c r="E13" s="13">
        <f>((C13-$C$9)-(C14-$C$6))/LN((C13-$C$9)/(C14-$C$6))</f>
        <v>27.363137916272439</v>
      </c>
      <c r="F13" s="15">
        <f>D13/E13/$C$4*(100/2.54/12)^2</f>
        <v>83.709728957357584</v>
      </c>
      <c r="G13" s="13">
        <f>D13/$N$4/($C$7-$C$6)</f>
        <v>1.47424795615013</v>
      </c>
      <c r="J13" s="15">
        <f>G13/$N$6*1000/3.785411784</f>
        <v>0.38945510826098545</v>
      </c>
    </row>
    <row r="14" spans="1:15" x14ac:dyDescent="0.3">
      <c r="B14" s="6" t="s">
        <v>12</v>
      </c>
      <c r="C14" s="5">
        <v>40</v>
      </c>
      <c r="D14" s="14"/>
      <c r="E14" s="14"/>
      <c r="F14" s="16"/>
      <c r="G14" s="14"/>
      <c r="J14" s="16"/>
    </row>
    <row r="15" spans="1:15" x14ac:dyDescent="0.3">
      <c r="B15" s="8" t="s">
        <v>5</v>
      </c>
      <c r="C15" s="7">
        <v>79.64</v>
      </c>
      <c r="D15" s="7">
        <f>20965404.81*1000/3600</f>
        <v>5823723.5583333336</v>
      </c>
      <c r="E15" s="8">
        <f>((C15-$C$7)-(C15-$C$6))/LN((C15-$C$7)/(C15-$C$6))</f>
        <v>38.784331509282914</v>
      </c>
      <c r="F15" s="18">
        <f>D15/E15/$C$4*(100/2.54/12)^2</f>
        <v>2786.6762895616425</v>
      </c>
      <c r="G15" s="8">
        <f>D15/$N$4/($C$7-$C$6)</f>
        <v>69.561915412486059</v>
      </c>
      <c r="J15" s="17">
        <f>G15/$N$6*1000/3.785411784</f>
        <v>18.37631396048036</v>
      </c>
    </row>
    <row r="16" spans="1:15" s="3" customFormat="1" x14ac:dyDescent="0.3">
      <c r="B16" s="6" t="s">
        <v>6</v>
      </c>
      <c r="C16" s="5">
        <v>109.5</v>
      </c>
      <c r="D16" s="5">
        <f>3889756.47*1000/3600</f>
        <v>1080487.9083333334</v>
      </c>
      <c r="E16" s="6">
        <f>((C16-$C$7)-(C16-$C$6))/LN((C16-$C$7)/(C16-$C$6))</f>
        <v>69.017706739400722</v>
      </c>
      <c r="F16" s="19">
        <f>D16/E16/$C$4*(100/2.54/12)^2</f>
        <v>290.53701306835592</v>
      </c>
      <c r="G16" s="6">
        <f>D16/$N$4/($C$7-$C$6)</f>
        <v>12.905971193661411</v>
      </c>
      <c r="J16" s="17">
        <f>G16/$N$6*1000/3.785411784</f>
        <v>3.4093968979046778</v>
      </c>
    </row>
    <row r="17" spans="1:8" s="11" customFormat="1" x14ac:dyDescent="0.3"/>
    <row r="18" spans="1:8" x14ac:dyDescent="0.3">
      <c r="A18" s="1" t="s">
        <v>18</v>
      </c>
    </row>
    <row r="20" spans="1:8" x14ac:dyDescent="0.3">
      <c r="B20" t="s">
        <v>17</v>
      </c>
      <c r="C20" t="s">
        <v>19</v>
      </c>
      <c r="F20" t="s">
        <v>22</v>
      </c>
      <c r="G20">
        <v>11250</v>
      </c>
      <c r="H20" t="s">
        <v>23</v>
      </c>
    </row>
    <row r="21" spans="1:8" x14ac:dyDescent="0.3">
      <c r="B21">
        <v>30</v>
      </c>
      <c r="C21">
        <f>6459940.12/3600*1000</f>
        <v>1794427.8111111112</v>
      </c>
    </row>
    <row r="22" spans="1:8" x14ac:dyDescent="0.3">
      <c r="B22">
        <v>70</v>
      </c>
      <c r="C22">
        <f>5423239.27/3600*1000</f>
        <v>1506455.3527777777</v>
      </c>
    </row>
    <row r="24" spans="1:8" x14ac:dyDescent="0.3">
      <c r="C24" s="8" t="s">
        <v>13</v>
      </c>
      <c r="D24" s="8" t="s">
        <v>24</v>
      </c>
      <c r="E24" s="8" t="s">
        <v>14</v>
      </c>
      <c r="F24" s="8" t="s">
        <v>25</v>
      </c>
      <c r="G24" s="8" t="s">
        <v>26</v>
      </c>
    </row>
    <row r="25" spans="1:8" x14ac:dyDescent="0.3">
      <c r="B25" s="7" t="s">
        <v>20</v>
      </c>
      <c r="C25" s="8">
        <f>2949373.64/3600*1000</f>
        <v>819270.45555555564</v>
      </c>
      <c r="D25" s="8">
        <f>C25/1054.35*3600</f>
        <v>2797338.3032199941</v>
      </c>
      <c r="E25" s="17">
        <f>D25/$G$20</f>
        <v>248.65229361955502</v>
      </c>
      <c r="F25" s="12">
        <f>C25/$C$21</f>
        <v>0.45656361904481557</v>
      </c>
      <c r="G25" s="8">
        <f>C25/$C$22</f>
        <v>0.54383985163907411</v>
      </c>
    </row>
    <row r="26" spans="1:8" x14ac:dyDescent="0.3">
      <c r="B26" s="7" t="s">
        <v>5</v>
      </c>
      <c r="C26" s="8">
        <f>21013144.82/3600*1000</f>
        <v>5836984.6722222222</v>
      </c>
      <c r="D26" s="8">
        <f t="shared" ref="D26:D27" si="0">C26/1054.35*3600</f>
        <v>19929951.932470243</v>
      </c>
      <c r="E26" s="17">
        <f t="shared" ref="E26:E27" si="1">D26/$G$20</f>
        <v>1771.5512828862438</v>
      </c>
      <c r="F26" s="12">
        <f t="shared" ref="F26:F27" si="2">C26/$C$21</f>
        <v>3.2528389473678279</v>
      </c>
      <c r="G26" s="8">
        <f t="shared" ref="G26:G27" si="3">C26/$C$22</f>
        <v>3.8746483003690155</v>
      </c>
    </row>
    <row r="27" spans="1:8" x14ac:dyDescent="0.3">
      <c r="B27" s="5" t="s">
        <v>6</v>
      </c>
      <c r="C27" s="8">
        <f>4097719.26/3600*1000</f>
        <v>1138255.3499999999</v>
      </c>
      <c r="D27" s="8">
        <f t="shared" si="0"/>
        <v>3886488.6043533925</v>
      </c>
      <c r="E27" s="17">
        <f t="shared" si="1"/>
        <v>345.46565372030153</v>
      </c>
      <c r="F27" s="12">
        <f t="shared" si="2"/>
        <v>0.63432774667886538</v>
      </c>
      <c r="G27" s="8">
        <f t="shared" si="3"/>
        <v>0.75558518737455593</v>
      </c>
    </row>
    <row r="29" spans="1:8" x14ac:dyDescent="0.3">
      <c r="F29" s="8" t="s">
        <v>27</v>
      </c>
    </row>
    <row r="30" spans="1:8" x14ac:dyDescent="0.3">
      <c r="F30" s="17">
        <f>F25/0.45359237</f>
        <v>1.006550482859347</v>
      </c>
    </row>
    <row r="31" spans="1:8" x14ac:dyDescent="0.3">
      <c r="F31" s="17">
        <f>F26/0.45359237</f>
        <v>7.1712823285978722</v>
      </c>
    </row>
    <row r="32" spans="1:8" x14ac:dyDescent="0.3">
      <c r="F32" s="17">
        <f>F27/0.45359237</f>
        <v>1.3984532999945862</v>
      </c>
    </row>
  </sheetData>
  <mergeCells count="5">
    <mergeCell ref="E13:E14"/>
    <mergeCell ref="G13:G14"/>
    <mergeCell ref="D13:D14"/>
    <mergeCell ref="F13:F14"/>
    <mergeCell ref="J13:J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265D4-A229-46ED-BDAC-525840FA02BD}">
  <dimension ref="A2:O32"/>
  <sheetViews>
    <sheetView zoomScaleNormal="100" workbookViewId="0">
      <selection activeCell="F13" sqref="F13:F16"/>
    </sheetView>
  </sheetViews>
  <sheetFormatPr defaultRowHeight="14.4" x14ac:dyDescent="0.3"/>
  <cols>
    <col min="2" max="2" width="12.5546875" customWidth="1"/>
    <col min="3" max="3" width="11" customWidth="1"/>
    <col min="4" max="4" width="13.21875" customWidth="1"/>
    <col min="5" max="5" width="11.77734375" customWidth="1"/>
    <col min="6" max="6" width="14.33203125" customWidth="1"/>
    <col min="7" max="7" width="15.5546875" customWidth="1"/>
    <col min="10" max="10" width="13.6640625" customWidth="1"/>
  </cols>
  <sheetData>
    <row r="2" spans="1:15" s="2" customFormat="1" x14ac:dyDescent="0.3">
      <c r="A2" s="1" t="s">
        <v>8</v>
      </c>
    </row>
    <row r="4" spans="1:15" x14ac:dyDescent="0.3">
      <c r="B4" t="s">
        <v>21</v>
      </c>
      <c r="C4">
        <v>580</v>
      </c>
      <c r="D4" t="s">
        <v>0</v>
      </c>
      <c r="M4" t="s">
        <v>9</v>
      </c>
      <c r="N4">
        <v>4186</v>
      </c>
      <c r="O4" t="s">
        <v>10</v>
      </c>
    </row>
    <row r="6" spans="1:15" x14ac:dyDescent="0.3">
      <c r="B6" t="s">
        <v>1</v>
      </c>
      <c r="C6">
        <v>30</v>
      </c>
      <c r="D6" t="s">
        <v>2</v>
      </c>
      <c r="M6" t="s">
        <v>29</v>
      </c>
      <c r="N6">
        <v>1000</v>
      </c>
      <c r="O6" t="s">
        <v>30</v>
      </c>
    </row>
    <row r="7" spans="1:15" x14ac:dyDescent="0.3">
      <c r="B7" t="s">
        <v>3</v>
      </c>
      <c r="C7">
        <v>50</v>
      </c>
      <c r="D7" t="s">
        <v>2</v>
      </c>
    </row>
    <row r="9" spans="1:15" x14ac:dyDescent="0.3">
      <c r="B9" t="s">
        <v>4</v>
      </c>
      <c r="C9">
        <v>38</v>
      </c>
      <c r="D9" t="s">
        <v>2</v>
      </c>
    </row>
    <row r="12" spans="1:15" x14ac:dyDescent="0.3">
      <c r="C12" s="7" t="s">
        <v>15</v>
      </c>
      <c r="D12" s="7" t="s">
        <v>13</v>
      </c>
      <c r="E12" s="9" t="s">
        <v>7</v>
      </c>
      <c r="F12" s="7" t="s">
        <v>14</v>
      </c>
      <c r="G12" s="8" t="s">
        <v>16</v>
      </c>
      <c r="J12" s="8" t="s">
        <v>28</v>
      </c>
    </row>
    <row r="13" spans="1:15" x14ac:dyDescent="0.3">
      <c r="B13" s="10" t="s">
        <v>11</v>
      </c>
      <c r="C13" s="4">
        <v>96.6</v>
      </c>
      <c r="D13" s="13">
        <f>523934.22/3600*1000</f>
        <v>145537.28333333333</v>
      </c>
      <c r="E13" s="13">
        <f>((C13-$C$9)-(C14-$C$6))/LN((C13-$C$9)/(C14-$C$6))</f>
        <v>27.486361957921211</v>
      </c>
      <c r="F13" s="15">
        <f>D13/E13/$C$4*(100/2.54/12)^2</f>
        <v>98.26505097011308</v>
      </c>
      <c r="G13" s="13">
        <f>D13/$N$4/($C$7-$C$6)</f>
        <v>1.7383813107182671</v>
      </c>
      <c r="J13" s="15">
        <f>G13/$N$6*1000/3.785411784</f>
        <v>0.45923175863349275</v>
      </c>
    </row>
    <row r="14" spans="1:15" x14ac:dyDescent="0.3">
      <c r="B14" s="6" t="s">
        <v>12</v>
      </c>
      <c r="C14" s="5">
        <v>40</v>
      </c>
      <c r="D14" s="14"/>
      <c r="E14" s="14"/>
      <c r="F14" s="16"/>
      <c r="G14" s="14"/>
      <c r="J14" s="16"/>
    </row>
    <row r="15" spans="1:15" x14ac:dyDescent="0.3">
      <c r="B15" s="8" t="s">
        <v>5</v>
      </c>
      <c r="C15" s="7">
        <v>79.66</v>
      </c>
      <c r="D15" s="7">
        <f>21444237.01*1000/3600</f>
        <v>5956732.5027777776</v>
      </c>
      <c r="E15" s="8">
        <f>((C15-$C$7)-(C15-$C$6))/LN((C15-$C$7)/(C15-$C$6))</f>
        <v>38.804778415049078</v>
      </c>
      <c r="F15" s="18">
        <f>D15/E15/$C$4*(100/2.54/12)^2</f>
        <v>2848.8197470305431</v>
      </c>
      <c r="G15" s="8">
        <f>D15/$N$4/($C$7-$C$6)</f>
        <v>71.150651012634711</v>
      </c>
      <c r="J15" s="17">
        <f>G15/$N$6*1000/3.785411784</f>
        <v>18.796013504626082</v>
      </c>
    </row>
    <row r="16" spans="1:15" s="3" customFormat="1" x14ac:dyDescent="0.3">
      <c r="B16" s="6" t="s">
        <v>6</v>
      </c>
      <c r="C16" s="5">
        <v>109.6</v>
      </c>
      <c r="D16" s="5">
        <f>4471248.72*1000/3600</f>
        <v>1242013.5333333334</v>
      </c>
      <c r="E16" s="6">
        <f>((C16-$C$7)-(C16-$C$6))/LN((C16-$C$7)/(C16-$C$6))</f>
        <v>69.118407449662371</v>
      </c>
      <c r="F16" s="19">
        <f>D16/E16/$C$4*(100/2.54/12)^2</f>
        <v>333.48375741214636</v>
      </c>
      <c r="G16" s="6">
        <f>D16/$N$4/($C$7-$C$6)</f>
        <v>14.835326485109096</v>
      </c>
      <c r="J16" s="17">
        <f>G16/$N$6*1000/3.785411784</f>
        <v>3.9190786449744661</v>
      </c>
    </row>
    <row r="17" spans="1:8" s="11" customFormat="1" x14ac:dyDescent="0.3"/>
    <row r="18" spans="1:8" x14ac:dyDescent="0.3">
      <c r="A18" s="1" t="s">
        <v>18</v>
      </c>
    </row>
    <row r="20" spans="1:8" x14ac:dyDescent="0.3">
      <c r="B20" t="s">
        <v>17</v>
      </c>
      <c r="C20" t="s">
        <v>19</v>
      </c>
      <c r="F20" t="s">
        <v>22</v>
      </c>
      <c r="G20">
        <v>11250</v>
      </c>
      <c r="H20" t="s">
        <v>23</v>
      </c>
    </row>
    <row r="21" spans="1:8" x14ac:dyDescent="0.3">
      <c r="B21">
        <v>30</v>
      </c>
      <c r="C21">
        <f>6459940.12/3600*1000</f>
        <v>1794427.8111111112</v>
      </c>
    </row>
    <row r="22" spans="1:8" x14ac:dyDescent="0.3">
      <c r="B22">
        <v>70</v>
      </c>
      <c r="C22">
        <f>5423239.27/3600*1000</f>
        <v>1506455.3527777777</v>
      </c>
    </row>
    <row r="24" spans="1:8" x14ac:dyDescent="0.3">
      <c r="C24" s="8" t="s">
        <v>13</v>
      </c>
      <c r="D24" s="8" t="s">
        <v>24</v>
      </c>
      <c r="E24" s="8" t="s">
        <v>14</v>
      </c>
      <c r="F24" s="8" t="s">
        <v>25</v>
      </c>
      <c r="G24" s="8" t="s">
        <v>26</v>
      </c>
    </row>
    <row r="25" spans="1:8" x14ac:dyDescent="0.3">
      <c r="B25" s="7" t="s">
        <v>20</v>
      </c>
      <c r="C25" s="8">
        <f>3178295.18/3600*1000</f>
        <v>882859.77222222229</v>
      </c>
      <c r="D25" s="8">
        <f>C25/1054.35*3600</f>
        <v>3014459.316166359</v>
      </c>
      <c r="E25" s="17">
        <f>D25/$G$20</f>
        <v>267.95193921478744</v>
      </c>
      <c r="F25" s="12">
        <f>C25/$C$21</f>
        <v>0.49200071842151999</v>
      </c>
      <c r="G25" s="8">
        <f>C25/$C$22</f>
        <v>0.58605107054404415</v>
      </c>
    </row>
    <row r="26" spans="1:8" x14ac:dyDescent="0.3">
      <c r="B26" s="7" t="s">
        <v>5</v>
      </c>
      <c r="C26" s="8">
        <f>21752447.29/3600*1000</f>
        <v>6042346.4694444435</v>
      </c>
      <c r="D26" s="8">
        <f t="shared" ref="D26:D27" si="0">C26/1054.35*3600</f>
        <v>20631144.581969932</v>
      </c>
      <c r="E26" s="17">
        <f t="shared" ref="E26:E27" si="1">D26/$G$20</f>
        <v>1833.8795183973273</v>
      </c>
      <c r="F26" s="12">
        <f t="shared" ref="F26:F27" si="2">C26/$C$21</f>
        <v>3.3672831150020004</v>
      </c>
      <c r="G26" s="8">
        <f t="shared" ref="G26:G27" si="3">C26/$C$22</f>
        <v>4.0109694975711436</v>
      </c>
    </row>
    <row r="27" spans="1:8" x14ac:dyDescent="0.3">
      <c r="B27" s="5" t="s">
        <v>6</v>
      </c>
      <c r="C27" s="8">
        <f>4666643.93/3600*1000</f>
        <v>1296289.9805555556</v>
      </c>
      <c r="D27" s="8">
        <f t="shared" si="0"/>
        <v>4426086.1478636134</v>
      </c>
      <c r="E27" s="17">
        <f t="shared" si="1"/>
        <v>393.42987981009895</v>
      </c>
      <c r="F27" s="12">
        <f t="shared" si="2"/>
        <v>0.72239739739259379</v>
      </c>
      <c r="G27" s="8">
        <f t="shared" si="3"/>
        <v>0.86049014208440044</v>
      </c>
    </row>
    <row r="29" spans="1:8" x14ac:dyDescent="0.3">
      <c r="F29" s="8" t="s">
        <v>27</v>
      </c>
    </row>
    <row r="30" spans="1:8" x14ac:dyDescent="0.3">
      <c r="F30" s="17">
        <f>F25/0.45359237</f>
        <v>1.0846759137979327</v>
      </c>
    </row>
    <row r="31" spans="1:8" x14ac:dyDescent="0.3">
      <c r="F31" s="17">
        <f>F26/0.45359237</f>
        <v>7.4235885295028226</v>
      </c>
    </row>
    <row r="32" spans="1:8" x14ac:dyDescent="0.3">
      <c r="F32" s="17">
        <f>F27/0.45359237</f>
        <v>1.5926136442563921</v>
      </c>
    </row>
  </sheetData>
  <mergeCells count="5">
    <mergeCell ref="E13:E14"/>
    <mergeCell ref="F13:F14"/>
    <mergeCell ref="D13:D14"/>
    <mergeCell ref="G13:G14"/>
    <mergeCell ref="J13:J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3C6F-74B5-4C5F-B2C1-A6D8E55F95CB}">
  <dimension ref="A2:O32"/>
  <sheetViews>
    <sheetView tabSelected="1" zoomScaleNormal="100" workbookViewId="0">
      <selection activeCell="F13" sqref="F13:F16"/>
    </sheetView>
  </sheetViews>
  <sheetFormatPr defaultRowHeight="14.4" x14ac:dyDescent="0.3"/>
  <cols>
    <col min="2" max="2" width="12.21875" customWidth="1"/>
    <col min="3" max="3" width="11.88671875" customWidth="1"/>
    <col min="4" max="4" width="12.33203125" customWidth="1"/>
    <col min="5" max="5" width="12.21875" customWidth="1"/>
    <col min="6" max="6" width="14.44140625" customWidth="1"/>
    <col min="7" max="7" width="15.33203125" customWidth="1"/>
    <col min="10" max="10" width="13.6640625" customWidth="1"/>
  </cols>
  <sheetData>
    <row r="2" spans="1:15" s="2" customFormat="1" x14ac:dyDescent="0.3">
      <c r="A2" s="1" t="s">
        <v>8</v>
      </c>
    </row>
    <row r="4" spans="1:15" x14ac:dyDescent="0.3">
      <c r="B4" t="s">
        <v>21</v>
      </c>
      <c r="C4">
        <v>580</v>
      </c>
      <c r="D4" t="s">
        <v>0</v>
      </c>
      <c r="M4" t="s">
        <v>9</v>
      </c>
      <c r="N4">
        <v>4186</v>
      </c>
      <c r="O4" t="s">
        <v>10</v>
      </c>
    </row>
    <row r="6" spans="1:15" x14ac:dyDescent="0.3">
      <c r="B6" t="s">
        <v>1</v>
      </c>
      <c r="C6">
        <v>30</v>
      </c>
      <c r="D6" t="s">
        <v>2</v>
      </c>
      <c r="M6" t="s">
        <v>29</v>
      </c>
      <c r="N6">
        <v>1000</v>
      </c>
      <c r="O6" t="s">
        <v>30</v>
      </c>
    </row>
    <row r="7" spans="1:15" x14ac:dyDescent="0.3">
      <c r="B7" t="s">
        <v>3</v>
      </c>
      <c r="C7">
        <v>50</v>
      </c>
      <c r="D7" t="s">
        <v>2</v>
      </c>
    </row>
    <row r="9" spans="1:15" x14ac:dyDescent="0.3">
      <c r="B9" t="s">
        <v>4</v>
      </c>
      <c r="C9">
        <v>38</v>
      </c>
      <c r="D9" t="s">
        <v>2</v>
      </c>
    </row>
    <row r="12" spans="1:15" x14ac:dyDescent="0.3">
      <c r="C12" s="7" t="s">
        <v>15</v>
      </c>
      <c r="D12" s="7" t="s">
        <v>13</v>
      </c>
      <c r="E12" s="9" t="s">
        <v>7</v>
      </c>
      <c r="F12" s="7" t="s">
        <v>14</v>
      </c>
      <c r="G12" s="8" t="s">
        <v>16</v>
      </c>
      <c r="J12" s="8" t="s">
        <v>28</v>
      </c>
    </row>
    <row r="13" spans="1:15" x14ac:dyDescent="0.3">
      <c r="B13" s="10" t="s">
        <v>11</v>
      </c>
      <c r="C13" s="4">
        <v>97.3</v>
      </c>
      <c r="D13" s="13">
        <f>518540.41/3600*1000</f>
        <v>144039.00277777776</v>
      </c>
      <c r="E13" s="13">
        <f>((C13-$C$9)-(C14-$C$6))/LN((C13-$C$9)/(C14-$C$6))</f>
        <v>27.696252466501235</v>
      </c>
      <c r="F13" s="15">
        <f>D13/E13/$C$4*(100/2.54/12)^2</f>
        <v>96.516414013390161</v>
      </c>
      <c r="G13" s="13">
        <f>D13/$N$4/($C$7-$C$6)</f>
        <v>1.7204849830121567</v>
      </c>
      <c r="J13" s="15">
        <f>G13/$N$6*1000/3.785411784</f>
        <v>0.45450404901369557</v>
      </c>
    </row>
    <row r="14" spans="1:15" x14ac:dyDescent="0.3">
      <c r="B14" s="6" t="s">
        <v>12</v>
      </c>
      <c r="C14" s="5">
        <v>40</v>
      </c>
      <c r="D14" s="14"/>
      <c r="E14" s="14"/>
      <c r="F14" s="16"/>
      <c r="G14" s="14"/>
      <c r="J14" s="16"/>
    </row>
    <row r="15" spans="1:15" x14ac:dyDescent="0.3">
      <c r="B15" s="8" t="s">
        <v>5</v>
      </c>
      <c r="C15" s="7">
        <v>79.67</v>
      </c>
      <c r="D15" s="7">
        <f>21891341.99*1000/3600</f>
        <v>6080928.3305555554</v>
      </c>
      <c r="E15" s="8">
        <f>((C15-$C$7)-(C15-$C$6))/LN((C15-$C$7)/(C15-$C$6))</f>
        <v>38.815001689804198</v>
      </c>
      <c r="F15" s="18">
        <f>D15/E15/$C$4*(100/2.54/12)^2</f>
        <v>2907.4506812145696</v>
      </c>
      <c r="G15" s="8">
        <f>D15/$N$4/($C$7-$C$6)</f>
        <v>72.634117660720918</v>
      </c>
      <c r="J15" s="17">
        <f>G15/$N$6*1000/3.785411784</f>
        <v>19.187903933655878</v>
      </c>
    </row>
    <row r="16" spans="1:15" s="3" customFormat="1" x14ac:dyDescent="0.3">
      <c r="B16" s="6" t="s">
        <v>6</v>
      </c>
      <c r="C16" s="5">
        <v>109.7</v>
      </c>
      <c r="D16" s="5">
        <f>5413206.11*1000/3600</f>
        <v>1503668.3638888889</v>
      </c>
      <c r="E16" s="6">
        <f>((C16-$C$7)-(C16-$C$6))/LN((C16-$C$7)/(C16-$C$6))</f>
        <v>69.219106115459866</v>
      </c>
      <c r="F16" s="19">
        <f>D16/E16/$C$4*(100/2.54/12)^2</f>
        <v>403.15138589602782</v>
      </c>
      <c r="G16" s="6">
        <f>D16/$N$4/($C$7-$C$6)</f>
        <v>17.960682798481709</v>
      </c>
      <c r="J16" s="17">
        <f>G16/$N$6*1000/3.785411784</f>
        <v>4.7447104366286057</v>
      </c>
    </row>
    <row r="17" spans="1:8" s="11" customFormat="1" x14ac:dyDescent="0.3"/>
    <row r="18" spans="1:8" x14ac:dyDescent="0.3">
      <c r="A18" s="1" t="s">
        <v>18</v>
      </c>
    </row>
    <row r="20" spans="1:8" x14ac:dyDescent="0.3">
      <c r="B20" t="s">
        <v>17</v>
      </c>
      <c r="C20" t="s">
        <v>19</v>
      </c>
      <c r="F20" t="s">
        <v>22</v>
      </c>
      <c r="G20">
        <v>11250</v>
      </c>
      <c r="H20" t="s">
        <v>23</v>
      </c>
    </row>
    <row r="21" spans="1:8" x14ac:dyDescent="0.3">
      <c r="B21">
        <v>30</v>
      </c>
      <c r="C21">
        <f>6459940.12/3600*1000</f>
        <v>1794427.8111111112</v>
      </c>
    </row>
    <row r="22" spans="1:8" x14ac:dyDescent="0.3">
      <c r="B22">
        <v>70</v>
      </c>
      <c r="C22">
        <f>5423239.27/3600*1000</f>
        <v>1506455.3527777777</v>
      </c>
    </row>
    <row r="24" spans="1:8" x14ac:dyDescent="0.3">
      <c r="C24" s="8" t="s">
        <v>13</v>
      </c>
      <c r="D24" s="8" t="s">
        <v>24</v>
      </c>
      <c r="E24" s="8" t="s">
        <v>14</v>
      </c>
      <c r="F24" s="8" t="s">
        <v>25</v>
      </c>
      <c r="G24" s="8" t="s">
        <v>26</v>
      </c>
    </row>
    <row r="25" spans="1:8" x14ac:dyDescent="0.3">
      <c r="B25" s="7" t="s">
        <v>20</v>
      </c>
      <c r="C25" s="8">
        <f>3515047.86/3600*1000</f>
        <v>976402.18333333323</v>
      </c>
      <c r="D25" s="8">
        <f>C25/1054.35*3600</f>
        <v>3333852.952055769</v>
      </c>
      <c r="E25" s="17">
        <f>D25/$G$20</f>
        <v>296.34248462717949</v>
      </c>
      <c r="F25" s="12">
        <f>C25/$C$21</f>
        <v>0.54413009945980728</v>
      </c>
      <c r="G25" s="8">
        <f>C25/$C$22</f>
        <v>0.6481454505325559</v>
      </c>
    </row>
    <row r="26" spans="1:8" x14ac:dyDescent="0.3">
      <c r="B26" s="7" t="s">
        <v>5</v>
      </c>
      <c r="C26" s="8">
        <f>22315859.73/3600*1000</f>
        <v>6198849.9250000007</v>
      </c>
      <c r="D26" s="8">
        <f t="shared" ref="D26:D27" si="0">C26/1054.35*3600</f>
        <v>21165514.041826725</v>
      </c>
      <c r="E26" s="17">
        <f t="shared" ref="E26:E27" si="1">D26/$G$20</f>
        <v>1881.3790259401533</v>
      </c>
      <c r="F26" s="12">
        <f t="shared" ref="F26:F27" si="2">C26/$C$21</f>
        <v>3.4544994714285373</v>
      </c>
      <c r="G26" s="8">
        <f t="shared" ref="G26:G27" si="3">C26/$C$22</f>
        <v>4.1148580431340633</v>
      </c>
    </row>
    <row r="27" spans="1:8" x14ac:dyDescent="0.3">
      <c r="B27" s="5" t="s">
        <v>6</v>
      </c>
      <c r="C27" s="8">
        <f>5591040.81/3600*1000</f>
        <v>1553066.8916666666</v>
      </c>
      <c r="D27" s="8">
        <f t="shared" si="0"/>
        <v>5302831.8964290796</v>
      </c>
      <c r="E27" s="17">
        <f t="shared" si="1"/>
        <v>471.36283523814041</v>
      </c>
      <c r="F27" s="12">
        <f t="shared" si="2"/>
        <v>0.86549421606712962</v>
      </c>
      <c r="G27" s="8">
        <f t="shared" si="3"/>
        <v>1.0309412016777937</v>
      </c>
    </row>
    <row r="29" spans="1:8" x14ac:dyDescent="0.3">
      <c r="F29" s="8" t="s">
        <v>27</v>
      </c>
    </row>
    <row r="30" spans="1:8" x14ac:dyDescent="0.3">
      <c r="F30" s="17">
        <f>F25/0.45359237</f>
        <v>1.1996015264979154</v>
      </c>
    </row>
    <row r="31" spans="1:8" x14ac:dyDescent="0.3">
      <c r="F31" s="17">
        <f>F26/0.45359237</f>
        <v>7.6158676818759918</v>
      </c>
    </row>
    <row r="32" spans="1:8" x14ac:dyDescent="0.3">
      <c r="F32" s="17">
        <f>F27/0.45359237</f>
        <v>1.9080881278208661</v>
      </c>
    </row>
  </sheetData>
  <mergeCells count="5">
    <mergeCell ref="G13:G14"/>
    <mergeCell ref="F13:F14"/>
    <mergeCell ref="E13:E14"/>
    <mergeCell ref="D13:D14"/>
    <mergeCell ref="J13:J1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600°C</vt:lpstr>
      <vt:lpstr>650°C</vt:lpstr>
      <vt:lpstr>700°C</vt:lpstr>
      <vt:lpstr>750°C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Matteo Robbiano</cp:lastModifiedBy>
  <dcterms:created xsi:type="dcterms:W3CDTF">2015-06-05T18:19:34Z</dcterms:created>
  <dcterms:modified xsi:type="dcterms:W3CDTF">2024-05-22T18:38:33Z</dcterms:modified>
</cp:coreProperties>
</file>