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4_Ta\"/>
    </mc:Choice>
  </mc:AlternateContent>
  <xr:revisionPtr revIDLastSave="0" documentId="13_ncr:1_{B996C1B4-5498-48AB-9772-F73E3E974EA5}" xr6:coauthVersionLast="47" xr6:coauthVersionMax="47" xr10:uidLastSave="{00000000-0000-0000-0000-000000000000}"/>
  <bookViews>
    <workbookView xWindow="-120" yWindow="-120" windowWidth="23280" windowHeight="14880" xr2:uid="{741D23CD-D838-4293-8B33-0654833314AA}"/>
  </bookViews>
  <sheets>
    <sheet name="Sheet1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V54" i="1"/>
  <c r="V55" i="1"/>
  <c r="V56" i="1"/>
  <c r="V57" i="1"/>
  <c r="V58" i="1"/>
  <c r="V59" i="1"/>
  <c r="U54" i="1"/>
  <c r="U55" i="1"/>
  <c r="U56" i="1"/>
  <c r="U57" i="1"/>
  <c r="U58" i="1"/>
  <c r="U59" i="1"/>
  <c r="D54" i="1"/>
  <c r="D55" i="1"/>
  <c r="D56" i="1"/>
  <c r="D57" i="1"/>
  <c r="D58" i="1"/>
  <c r="D59" i="1"/>
  <c r="E54" i="1"/>
  <c r="E55" i="1"/>
  <c r="E56" i="1"/>
  <c r="E57" i="1"/>
  <c r="E58" i="1"/>
  <c r="E59" i="1"/>
  <c r="E53" i="1"/>
  <c r="J67" i="1"/>
  <c r="I67" i="1"/>
  <c r="J66" i="1"/>
  <c r="I66" i="1"/>
  <c r="N54" i="1"/>
  <c r="N55" i="1"/>
  <c r="N56" i="1"/>
  <c r="N57" i="1"/>
  <c r="N58" i="1"/>
  <c r="N59" i="1"/>
  <c r="N53" i="1"/>
  <c r="M54" i="1"/>
  <c r="M55" i="1"/>
  <c r="M56" i="1"/>
  <c r="M57" i="1"/>
  <c r="M58" i="1"/>
  <c r="M59" i="1"/>
  <c r="M53" i="1"/>
  <c r="J65" i="1"/>
  <c r="J64" i="1"/>
  <c r="R54" i="1"/>
  <c r="R55" i="1"/>
  <c r="R56" i="1"/>
  <c r="R57" i="1"/>
  <c r="R58" i="1"/>
  <c r="R59" i="1"/>
  <c r="R53" i="1"/>
  <c r="Q54" i="1"/>
  <c r="Q55" i="1"/>
  <c r="Q56" i="1"/>
  <c r="Q57" i="1"/>
  <c r="Q58" i="1"/>
  <c r="Q59" i="1"/>
  <c r="Q53" i="1"/>
  <c r="L54" i="1"/>
  <c r="L55" i="1"/>
  <c r="L56" i="1"/>
  <c r="L57" i="1"/>
  <c r="L58" i="1"/>
  <c r="L59" i="1"/>
  <c r="P59" i="1" s="1"/>
  <c r="L53" i="1"/>
  <c r="K54" i="1"/>
  <c r="K55" i="1"/>
  <c r="K56" i="1"/>
  <c r="K57" i="1"/>
  <c r="K58" i="1"/>
  <c r="K59" i="1"/>
  <c r="K53" i="1"/>
  <c r="J54" i="1"/>
  <c r="J55" i="1"/>
  <c r="J56" i="1"/>
  <c r="J57" i="1"/>
  <c r="J58" i="1"/>
  <c r="J59" i="1"/>
  <c r="J53" i="1"/>
  <c r="I54" i="1"/>
  <c r="I55" i="1"/>
  <c r="I56" i="1"/>
  <c r="I57" i="1"/>
  <c r="I58" i="1"/>
  <c r="I59" i="1"/>
  <c r="I53" i="1"/>
  <c r="P57" i="1"/>
  <c r="P56" i="1"/>
  <c r="M37" i="1"/>
  <c r="K34" i="1"/>
  <c r="M34" i="1" s="1"/>
  <c r="K35" i="1"/>
  <c r="Q35" i="1" s="1"/>
  <c r="K36" i="1"/>
  <c r="Q36" i="1" s="1"/>
  <c r="K37" i="1"/>
  <c r="Q37" i="1" s="1"/>
  <c r="K38" i="1"/>
  <c r="M38" i="1" s="1"/>
  <c r="K39" i="1"/>
  <c r="M39" i="1" s="1"/>
  <c r="K33" i="1"/>
  <c r="M33" i="1" s="1"/>
  <c r="I37" i="1"/>
  <c r="J37" i="1" s="1"/>
  <c r="H34" i="1"/>
  <c r="I34" i="1" s="1"/>
  <c r="J34" i="1" s="1"/>
  <c r="H35" i="1"/>
  <c r="I35" i="1" s="1"/>
  <c r="J35" i="1" s="1"/>
  <c r="H36" i="1"/>
  <c r="I36" i="1" s="1"/>
  <c r="J36" i="1" s="1"/>
  <c r="H37" i="1"/>
  <c r="H38" i="1"/>
  <c r="I38" i="1" s="1"/>
  <c r="J38" i="1" s="1"/>
  <c r="H39" i="1"/>
  <c r="I39" i="1" s="1"/>
  <c r="J39" i="1" s="1"/>
  <c r="H33" i="1"/>
  <c r="I33" i="1" s="1"/>
  <c r="J33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18" i="1"/>
  <c r="E18" i="1" s="1"/>
  <c r="F18" i="1" s="1"/>
  <c r="P7" i="1"/>
  <c r="C50" i="1" s="1"/>
  <c r="P8" i="1"/>
  <c r="J69" i="1" l="1"/>
  <c r="J70" i="1"/>
  <c r="O55" i="1"/>
  <c r="Q33" i="1"/>
  <c r="Q39" i="1"/>
  <c r="Q38" i="1"/>
  <c r="P55" i="1"/>
  <c r="Q34" i="1"/>
  <c r="O56" i="1"/>
  <c r="O54" i="1"/>
  <c r="O58" i="1"/>
  <c r="O57" i="1"/>
  <c r="O59" i="1"/>
  <c r="P54" i="1"/>
  <c r="P53" i="1"/>
  <c r="P58" i="1"/>
  <c r="P35" i="1"/>
  <c r="L35" i="1"/>
  <c r="L39" i="1"/>
  <c r="P39" i="1"/>
  <c r="L38" i="1"/>
  <c r="P38" i="1"/>
  <c r="P34" i="1"/>
  <c r="L34" i="1"/>
  <c r="L37" i="1"/>
  <c r="P37" i="1"/>
  <c r="L33" i="1"/>
  <c r="P33" i="1"/>
  <c r="L36" i="1"/>
  <c r="P36" i="1"/>
  <c r="M36" i="1"/>
  <c r="M35" i="1"/>
  <c r="H24" i="1"/>
  <c r="I65" i="1" l="1"/>
  <c r="J72" i="1"/>
  <c r="J71" i="1"/>
  <c r="O53" i="1"/>
  <c r="I64" i="1" s="1"/>
  <c r="Q19" i="1"/>
  <c r="Q21" i="1" s="1"/>
  <c r="Q18" i="1"/>
  <c r="Q20" i="1" s="1"/>
  <c r="I69" i="1" l="1"/>
  <c r="I70" i="1"/>
  <c r="J73" i="1"/>
  <c r="J74" i="1" s="1"/>
  <c r="Q24" i="1"/>
  <c r="Q23" i="1"/>
  <c r="I71" i="1" l="1"/>
  <c r="I72" i="1"/>
  <c r="Q26" i="1"/>
  <c r="Q25" i="1"/>
  <c r="I73" i="1" l="1"/>
  <c r="I74" i="1" s="1"/>
  <c r="Q27" i="1"/>
  <c r="Q28" i="1" s="1"/>
  <c r="E37" i="1" l="1"/>
  <c r="E33" i="1"/>
  <c r="E39" i="1"/>
  <c r="E34" i="1"/>
  <c r="E38" i="1"/>
  <c r="E35" i="1"/>
  <c r="E36" i="1"/>
  <c r="N33" i="1"/>
  <c r="O35" i="1"/>
  <c r="N35" i="1"/>
  <c r="N39" i="1"/>
  <c r="O39" i="1"/>
  <c r="N36" i="1"/>
  <c r="O36" i="1"/>
  <c r="N37" i="1"/>
  <c r="O37" i="1"/>
  <c r="N34" i="1"/>
  <c r="O34" i="1"/>
  <c r="N38" i="1"/>
  <c r="O38" i="1"/>
  <c r="O33" i="1"/>
  <c r="P19" i="1" l="1"/>
  <c r="P21" i="1" s="1"/>
  <c r="P18" i="1"/>
  <c r="P20" i="1" s="1"/>
  <c r="P23" i="1" l="1"/>
  <c r="P25" i="1" s="1"/>
  <c r="P24" i="1"/>
  <c r="P26" i="1" l="1"/>
  <c r="P27" i="1" s="1"/>
  <c r="P28" i="1" s="1"/>
  <c r="F58" i="1" l="1"/>
  <c r="F53" i="1"/>
  <c r="F59" i="1"/>
  <c r="F55" i="1"/>
  <c r="F56" i="1"/>
  <c r="F54" i="1"/>
  <c r="F57" i="1"/>
  <c r="D33" i="1"/>
  <c r="F33" i="1" s="1"/>
  <c r="R33" i="1" s="1"/>
  <c r="D39" i="1"/>
  <c r="F39" i="1" s="1"/>
  <c r="R39" i="1" s="1"/>
  <c r="S39" i="1" s="1"/>
  <c r="D35" i="1"/>
  <c r="F35" i="1" s="1"/>
  <c r="R35" i="1" s="1"/>
  <c r="S35" i="1" s="1"/>
  <c r="D34" i="1"/>
  <c r="F34" i="1" s="1"/>
  <c r="R34" i="1" s="1"/>
  <c r="S34" i="1" s="1"/>
  <c r="D36" i="1"/>
  <c r="F36" i="1" s="1"/>
  <c r="R36" i="1" s="1"/>
  <c r="S36" i="1" s="1"/>
  <c r="D37" i="1"/>
  <c r="F37" i="1" s="1"/>
  <c r="R37" i="1" s="1"/>
  <c r="S37" i="1" s="1"/>
  <c r="D38" i="1"/>
  <c r="F38" i="1" s="1"/>
  <c r="R38" i="1" s="1"/>
  <c r="S38" i="1" s="1"/>
  <c r="T55" i="1" l="1"/>
  <c r="S55" i="1"/>
  <c r="S57" i="1"/>
  <c r="T57" i="1"/>
  <c r="S54" i="1"/>
  <c r="T54" i="1"/>
  <c r="S56" i="1"/>
  <c r="T56" i="1"/>
  <c r="T59" i="1"/>
  <c r="S59" i="1"/>
  <c r="T58" i="1"/>
  <c r="S58" i="1"/>
  <c r="S53" i="1"/>
  <c r="U53" i="1" s="1"/>
  <c r="T53" i="1"/>
  <c r="S33" i="1"/>
  <c r="U39" i="1"/>
  <c r="X59" i="1" l="1"/>
  <c r="V53" i="1"/>
</calcChain>
</file>

<file path=xl/sharedStrings.xml><?xml version="1.0" encoding="utf-8"?>
<sst xmlns="http://schemas.openxmlformats.org/spreadsheetml/2006/main" count="146" uniqueCount="82">
  <si>
    <t>Antoine</t>
  </si>
  <si>
    <t>Specie</t>
  </si>
  <si>
    <t>Molar fraction [-]</t>
  </si>
  <si>
    <t>Tc [K]</t>
  </si>
  <si>
    <t>Pc [bar]</t>
  </si>
  <si>
    <t>ω [-]</t>
  </si>
  <si>
    <t>A</t>
  </si>
  <si>
    <t>B</t>
  </si>
  <si>
    <t>C</t>
  </si>
  <si>
    <t>H [bar]</t>
  </si>
  <si>
    <t>CpL [J/mol/K]</t>
  </si>
  <si>
    <t>CpV [J/mol/K]</t>
  </si>
  <si>
    <t>Dhvap @ Teb,n [kJ/mol/K]</t>
  </si>
  <si>
    <t>Data</t>
  </si>
  <si>
    <t>CO</t>
  </si>
  <si>
    <t>bar</t>
  </si>
  <si>
    <t>K</t>
  </si>
  <si>
    <t>F</t>
  </si>
  <si>
    <t>mol/s</t>
  </si>
  <si>
    <r>
      <t>CO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</si>
  <si>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</si>
  <si>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</si>
  <si>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OH</t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</si>
  <si>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</si>
  <si>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CH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</si>
  <si>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P1</t>
  </si>
  <si>
    <t>P2</t>
  </si>
  <si>
    <t>T</t>
  </si>
  <si>
    <t>INDUSTRIAL ORGANIC CHEMISTRY - TUTORIAL 3</t>
  </si>
  <si>
    <t>Tdew</t>
  </si>
  <si>
    <t>ideal gas</t>
  </si>
  <si>
    <t>P0 or H</t>
  </si>
  <si>
    <t>xi = P/P0 * zi</t>
  </si>
  <si>
    <t>zi</t>
  </si>
  <si>
    <t>P/P0 or P/H</t>
  </si>
  <si>
    <t>sum xi</t>
  </si>
  <si>
    <t>Real mixture / Real Gas</t>
  </si>
  <si>
    <t>Phi L</t>
  </si>
  <si>
    <t>Phi V</t>
  </si>
  <si>
    <t>Ki = PhiV/PhiL</t>
  </si>
  <si>
    <t>S</t>
  </si>
  <si>
    <t>Alpha</t>
  </si>
  <si>
    <t>ai</t>
  </si>
  <si>
    <t>bi</t>
  </si>
  <si>
    <t>Ai</t>
  </si>
  <si>
    <t>Bi</t>
  </si>
  <si>
    <t>Liquid</t>
  </si>
  <si>
    <t>Vapor</t>
  </si>
  <si>
    <t>xi*sqrt(ai)</t>
  </si>
  <si>
    <t>xi*bi</t>
  </si>
  <si>
    <t>zi*sqrt(ai)</t>
  </si>
  <si>
    <t>zi*bi</t>
  </si>
  <si>
    <t>a_mix</t>
  </si>
  <si>
    <t>b_mix</t>
  </si>
  <si>
    <t>A_mix</t>
  </si>
  <si>
    <t>B_mix</t>
  </si>
  <si>
    <t>p</t>
  </si>
  <si>
    <t>q</t>
  </si>
  <si>
    <t>D</t>
  </si>
  <si>
    <t>Beta</t>
  </si>
  <si>
    <t>Gamma</t>
  </si>
  <si>
    <t>Z</t>
  </si>
  <si>
    <t>xi_new</t>
  </si>
  <si>
    <t>ERR</t>
  </si>
  <si>
    <t xml:space="preserve"> = Ki*zi</t>
  </si>
  <si>
    <t>Initial Guess</t>
  </si>
  <si>
    <t>yi_new</t>
  </si>
  <si>
    <t>Stochiometric for x</t>
  </si>
  <si>
    <t xml:space="preserve"> = zi/(1-a*(Ki-1))</t>
  </si>
  <si>
    <t xml:space="preserve"> = Ki*xi</t>
  </si>
  <si>
    <t>ERRx</t>
  </si>
  <si>
    <t>ERRy</t>
  </si>
  <si>
    <t>This Calculations are for the first Flash drum</t>
  </si>
  <si>
    <t>Initial Guess (xi_0 = P/P0 * zi)</t>
  </si>
  <si>
    <t>xi</t>
  </si>
  <si>
    <t>Tflash</t>
  </si>
  <si>
    <t>yi 0</t>
  </si>
  <si>
    <t>Initial Guess (xi_0 = P/P0 * zi), (yi_0 = zi)</t>
  </si>
  <si>
    <t>yi*sqrt(ai)</t>
  </si>
  <si>
    <t>yi*bi</t>
  </si>
  <si>
    <t>alfa</t>
  </si>
  <si>
    <t>RR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</si>
</sst>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0" fillId="6" borderId="6" applyNumberFormat="0" applyAlignment="0" applyProtection="0"/>
  </cellStyleXfs>
  <cellXfs count="39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4" borderId="0" xfId="0" applyFont="1" applyFill="1"/>
    <xf numFmtId="0" fontId="9" fillId="4" borderId="0" xfId="0" applyFont="1" applyFill="1"/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 wrapText="1"/>
    </xf>
    <xf numFmtId="0" fontId="12" fillId="6" borderId="6" xfId="1" applyFont="1" applyAlignment="1">
      <alignment horizontal="center"/>
    </xf>
    <xf numFmtId="11" fontId="0" fillId="0" borderId="1" xfId="0" applyNumberFormat="1" applyBorder="1"/>
    <xf numFmtId="11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564709</xdr:colOff>
      <xdr:row>1</xdr:row>
      <xdr:rowOff>133451</xdr:rowOff>
    </xdr:from>
    <xdr:to>
      <xdr:col>36</xdr:col>
      <xdr:colOff>448019</xdr:colOff>
      <xdr:row>4</xdr:row>
      <xdr:rowOff>135742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D8D8D-0635-4D7D-B3DC-519C8353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7444" y="335157"/>
          <a:ext cx="2908900" cy="1010820"/>
        </a:xfrm>
        <a:prstGeom prst="rect">
          <a:avLst/>
        </a:prstGeom>
      </xdr:spPr>
    </xdr:pic>
    <xdr:clientData/>
  </xdr:twoCellAnchor>
  <xdr:twoCellAnchor editAs="oneCell">
    <xdr:from>
      <xdr:col>21</xdr:col>
      <xdr:colOff>17603</xdr:colOff>
      <xdr:row>14</xdr:row>
      <xdr:rowOff>30705</xdr:rowOff>
    </xdr:from>
    <xdr:to>
      <xdr:col>25</xdr:col>
      <xdr:colOff>75568</xdr:colOff>
      <xdr:row>29</xdr:row>
      <xdr:rowOff>209529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32EB3B-7709-464F-9AF6-51471ECDD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72664" y="3445766"/>
          <a:ext cx="3252325" cy="3744891"/>
        </a:xfrm>
        <a:prstGeom prst="rect">
          <a:avLst/>
        </a:prstGeom>
      </xdr:spPr>
    </xdr:pic>
    <xdr:clientData/>
  </xdr:twoCellAnchor>
  <xdr:twoCellAnchor editAs="oneCell">
    <xdr:from>
      <xdr:col>26</xdr:col>
      <xdr:colOff>171127</xdr:colOff>
      <xdr:row>35</xdr:row>
      <xdr:rowOff>100315</xdr:rowOff>
    </xdr:from>
    <xdr:to>
      <xdr:col>31</xdr:col>
      <xdr:colOff>474013</xdr:colOff>
      <xdr:row>57</xdr:row>
      <xdr:rowOff>70647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7B8B20-E56B-4FDF-89FC-C2C7B120A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00822" y="8394035"/>
          <a:ext cx="3323008" cy="4651521"/>
        </a:xfrm>
        <a:prstGeom prst="rect">
          <a:avLst/>
        </a:prstGeom>
      </xdr:spPr>
    </xdr:pic>
    <xdr:clientData/>
  </xdr:twoCellAnchor>
  <xdr:twoCellAnchor editAs="oneCell">
    <xdr:from>
      <xdr:col>5</xdr:col>
      <xdr:colOff>59187</xdr:colOff>
      <xdr:row>74</xdr:row>
      <xdr:rowOff>158795</xdr:rowOff>
    </xdr:from>
    <xdr:to>
      <xdr:col>14</xdr:col>
      <xdr:colOff>242731</xdr:colOff>
      <xdr:row>82</xdr:row>
      <xdr:rowOff>129601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BA6A4B-BA29-4D47-9E27-23ED3BDD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60102" y="16420990"/>
          <a:ext cx="8825739" cy="1457635"/>
        </a:xfrm>
        <a:prstGeom prst="rect">
          <a:avLst/>
        </a:prstGeom>
      </xdr:spPr>
    </xdr:pic>
    <xdr:clientData/>
  </xdr:twoCellAnchor>
  <xdr:twoCellAnchor editAs="oneCell">
    <xdr:from>
      <xdr:col>32</xdr:col>
      <xdr:colOff>12253</xdr:colOff>
      <xdr:row>19</xdr:row>
      <xdr:rowOff>204073</xdr:rowOff>
    </xdr:from>
    <xdr:to>
      <xdr:col>40</xdr:col>
      <xdr:colOff>160572</xdr:colOff>
      <xdr:row>46</xdr:row>
      <xdr:rowOff>160445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0268D1-A714-4FA4-B71B-0E09B7B6F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740332" y="5036268"/>
          <a:ext cx="4980514" cy="5729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4478-025D-4BD8-B6CB-63EBABDAE7AE}">
  <dimension ref="A1:Y74"/>
  <sheetViews>
    <sheetView tabSelected="1" topLeftCell="G27" zoomScale="82" zoomScaleNormal="100" workbookViewId="0">
      <selection activeCell="X59" sqref="X59"/>
    </sheetView>
  </sheetViews>
  <sheetFormatPr defaultRowHeight="15" x14ac:dyDescent="0.25"/>
  <cols>
    <col min="3" max="3" width="12.7109375" customWidth="1"/>
    <col min="4" max="4" width="9.42578125" bestFit="1" customWidth="1"/>
    <col min="5" max="5" width="13.7109375" customWidth="1"/>
    <col min="6" max="6" width="16.42578125" customWidth="1"/>
    <col min="7" max="7" width="16.140625" customWidth="1"/>
    <col min="8" max="8" width="16.42578125" customWidth="1"/>
    <col min="9" max="9" width="12.7109375" bestFit="1" customWidth="1"/>
    <col min="10" max="11" width="13" bestFit="1" customWidth="1"/>
    <col min="12" max="12" width="12.7109375" bestFit="1" customWidth="1"/>
    <col min="13" max="13" width="15.42578125" customWidth="1"/>
    <col min="14" max="14" width="13.5703125" customWidth="1"/>
    <col min="15" max="15" width="14.28515625" bestFit="1" customWidth="1"/>
    <col min="16" max="16" width="15.7109375" customWidth="1"/>
    <col min="17" max="17" width="14" customWidth="1"/>
    <col min="18" max="18" width="14.28515625" bestFit="1" customWidth="1"/>
    <col min="19" max="19" width="15.85546875" customWidth="1"/>
    <col min="20" max="20" width="13.5703125" bestFit="1" customWidth="1"/>
    <col min="21" max="21" width="14.28515625" bestFit="1" customWidth="1"/>
    <col min="22" max="22" width="12.42578125" bestFit="1" customWidth="1"/>
    <col min="25" max="25" width="17.42578125" customWidth="1"/>
    <col min="26" max="26" width="13.140625" bestFit="1" customWidth="1"/>
  </cols>
  <sheetData>
    <row r="1" spans="1:17" ht="15.75" x14ac:dyDescent="0.25">
      <c r="A1" s="25" t="s">
        <v>28</v>
      </c>
      <c r="B1" s="25"/>
      <c r="C1" s="25"/>
      <c r="D1" s="25"/>
      <c r="E1" s="25"/>
      <c r="F1" s="25"/>
      <c r="G1" s="25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/>
      <c r="B3" s="1"/>
      <c r="C3" s="1"/>
      <c r="D3" s="1"/>
      <c r="E3" s="1"/>
      <c r="F3" s="1"/>
      <c r="G3" s="26" t="s">
        <v>0</v>
      </c>
      <c r="H3" s="27"/>
      <c r="I3" s="28"/>
      <c r="J3" s="1"/>
      <c r="K3" s="1"/>
      <c r="L3" s="1"/>
      <c r="M3" s="1"/>
      <c r="N3" s="1"/>
      <c r="O3" s="1"/>
      <c r="P3" s="1"/>
      <c r="Q3" s="1"/>
    </row>
    <row r="4" spans="1:17" ht="47.25" x14ac:dyDescent="0.25">
      <c r="A4" s="1"/>
      <c r="B4" s="3" t="s">
        <v>1</v>
      </c>
      <c r="C4" s="3" t="s">
        <v>2</v>
      </c>
      <c r="D4" s="4" t="s">
        <v>3</v>
      </c>
      <c r="E4" s="4" t="s">
        <v>4</v>
      </c>
      <c r="F4" s="2" t="s">
        <v>5</v>
      </c>
      <c r="G4" s="4" t="s">
        <v>6</v>
      </c>
      <c r="H4" s="4" t="s">
        <v>7</v>
      </c>
      <c r="I4" s="2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1"/>
      <c r="O4" s="29" t="s">
        <v>13</v>
      </c>
      <c r="P4" s="29"/>
      <c r="Q4" s="29"/>
    </row>
    <row r="5" spans="1:17" ht="15.75" x14ac:dyDescent="0.25">
      <c r="A5" s="1"/>
      <c r="B5" s="15" t="s">
        <v>14</v>
      </c>
      <c r="C5" s="5">
        <v>3.5999999999999997E-2</v>
      </c>
      <c r="D5" s="6">
        <v>132.91999999999999</v>
      </c>
      <c r="E5" s="6">
        <v>34.99</v>
      </c>
      <c r="F5" s="7">
        <v>6.6000000000000003E-2</v>
      </c>
      <c r="G5" s="8"/>
      <c r="H5" s="8"/>
      <c r="I5" s="9"/>
      <c r="J5" s="10">
        <v>2500</v>
      </c>
      <c r="K5" s="8"/>
      <c r="L5" s="5">
        <v>29.08</v>
      </c>
      <c r="M5" s="8"/>
      <c r="N5" s="1"/>
      <c r="O5" s="4" t="s">
        <v>25</v>
      </c>
      <c r="P5" s="8">
        <v>65</v>
      </c>
      <c r="Q5" s="8" t="s">
        <v>15</v>
      </c>
    </row>
    <row r="6" spans="1:17" ht="18.75" x14ac:dyDescent="0.25">
      <c r="A6" s="1"/>
      <c r="B6" s="15" t="s">
        <v>19</v>
      </c>
      <c r="C6" s="5">
        <v>8.7999999999999995E-2</v>
      </c>
      <c r="D6" s="6">
        <v>304.19</v>
      </c>
      <c r="E6" s="6">
        <v>73.819999999999993</v>
      </c>
      <c r="F6" s="7">
        <v>0.22800000000000001</v>
      </c>
      <c r="G6" s="8"/>
      <c r="H6" s="8"/>
      <c r="I6" s="9"/>
      <c r="J6" s="10">
        <v>164</v>
      </c>
      <c r="K6" s="8"/>
      <c r="L6" s="11">
        <v>38.4</v>
      </c>
      <c r="M6" s="8"/>
      <c r="N6" s="1"/>
      <c r="O6" s="4" t="s">
        <v>26</v>
      </c>
      <c r="P6" s="8">
        <v>5</v>
      </c>
      <c r="Q6" s="8" t="s">
        <v>15</v>
      </c>
    </row>
    <row r="7" spans="1:17" ht="18.75" x14ac:dyDescent="0.25">
      <c r="A7" s="1"/>
      <c r="B7" s="15" t="s">
        <v>20</v>
      </c>
      <c r="C7" s="12">
        <v>0.51</v>
      </c>
      <c r="D7" s="6">
        <v>33.18</v>
      </c>
      <c r="E7" s="6">
        <v>13.13</v>
      </c>
      <c r="F7" s="7">
        <v>-0.22</v>
      </c>
      <c r="G7" s="8"/>
      <c r="H7" s="8"/>
      <c r="I7" s="9"/>
      <c r="J7" s="10">
        <v>6200</v>
      </c>
      <c r="K7" s="8"/>
      <c r="L7" s="5">
        <v>28.76</v>
      </c>
      <c r="M7" s="8"/>
      <c r="N7" s="1"/>
      <c r="O7" s="4" t="s">
        <v>27</v>
      </c>
      <c r="P7" s="5">
        <f>40+273.15</f>
        <v>313.14999999999998</v>
      </c>
      <c r="Q7" s="5" t="s">
        <v>16</v>
      </c>
    </row>
    <row r="8" spans="1:17" ht="18.75" x14ac:dyDescent="0.25">
      <c r="A8" s="1"/>
      <c r="B8" s="15" t="s">
        <v>21</v>
      </c>
      <c r="C8" s="5">
        <v>2.3E-2</v>
      </c>
      <c r="D8" s="6">
        <v>647.13</v>
      </c>
      <c r="E8" s="6">
        <v>220.55</v>
      </c>
      <c r="F8" s="7">
        <v>0.34499999999999997</v>
      </c>
      <c r="G8" s="10">
        <v>6.2096</v>
      </c>
      <c r="H8" s="10">
        <v>2354.7310000000002</v>
      </c>
      <c r="I8" s="13">
        <v>7.5590000000000002</v>
      </c>
      <c r="J8" s="8"/>
      <c r="K8" s="5">
        <v>75.55</v>
      </c>
      <c r="L8" s="5">
        <v>34.58</v>
      </c>
      <c r="M8" s="11">
        <v>39.5</v>
      </c>
      <c r="N8" s="1"/>
      <c r="O8" s="4" t="s">
        <v>17</v>
      </c>
      <c r="P8" s="14">
        <f>5330*1000/3600</f>
        <v>1480.5555555555557</v>
      </c>
      <c r="Q8" s="8" t="s">
        <v>18</v>
      </c>
    </row>
    <row r="9" spans="1:17" ht="18.75" x14ac:dyDescent="0.25">
      <c r="A9" s="1"/>
      <c r="B9" s="15" t="s">
        <v>22</v>
      </c>
      <c r="C9" s="5">
        <v>4.9000000000000002E-2</v>
      </c>
      <c r="D9" s="6">
        <v>512.58000000000004</v>
      </c>
      <c r="E9" s="6">
        <v>80.959999999999994</v>
      </c>
      <c r="F9" s="7">
        <v>0.56599999999999995</v>
      </c>
      <c r="G9" s="10">
        <v>5.2041000000000004</v>
      </c>
      <c r="H9" s="10">
        <v>1581.34</v>
      </c>
      <c r="I9" s="13">
        <v>-33.5</v>
      </c>
      <c r="J9" s="8"/>
      <c r="K9" s="5">
        <v>79.930000000000007</v>
      </c>
      <c r="L9" s="5">
        <v>47.61</v>
      </c>
      <c r="M9" s="5">
        <v>35.14</v>
      </c>
      <c r="N9" s="1"/>
      <c r="O9" s="1"/>
      <c r="P9" s="1"/>
      <c r="Q9" s="1"/>
    </row>
    <row r="10" spans="1:17" ht="18.75" x14ac:dyDescent="0.25">
      <c r="A10" s="1"/>
      <c r="B10" s="15" t="s">
        <v>23</v>
      </c>
      <c r="C10" s="5">
        <v>3.7999999999999999E-2</v>
      </c>
      <c r="D10" s="6">
        <v>126.1</v>
      </c>
      <c r="E10" s="6">
        <v>33.94</v>
      </c>
      <c r="F10" s="7">
        <v>0.04</v>
      </c>
      <c r="G10" s="8"/>
      <c r="H10" s="8"/>
      <c r="I10" s="9"/>
      <c r="J10" s="10">
        <v>3660</v>
      </c>
      <c r="K10" s="8"/>
      <c r="L10" s="5">
        <v>29.07</v>
      </c>
      <c r="M10" s="8"/>
      <c r="N10" s="1"/>
      <c r="O10" s="1"/>
      <c r="P10" s="1"/>
      <c r="Q10" s="1"/>
    </row>
    <row r="11" spans="1:17" ht="18.75" x14ac:dyDescent="0.25">
      <c r="A11" s="1"/>
      <c r="B11" s="15" t="s">
        <v>24</v>
      </c>
      <c r="C11" s="5">
        <v>0.25600000000000001</v>
      </c>
      <c r="D11" s="6">
        <v>190.58</v>
      </c>
      <c r="E11" s="6">
        <v>46.04</v>
      </c>
      <c r="F11" s="7">
        <v>1.0999999999999999E-2</v>
      </c>
      <c r="G11" s="8"/>
      <c r="H11" s="8"/>
      <c r="I11" s="9"/>
      <c r="J11" s="10">
        <v>1130</v>
      </c>
      <c r="K11" s="8"/>
      <c r="L11" s="5">
        <v>36.33</v>
      </c>
      <c r="M11" s="8"/>
      <c r="N11" s="1"/>
      <c r="O11" s="1"/>
      <c r="P11" s="1"/>
      <c r="Q11" s="1"/>
    </row>
    <row r="15" spans="1:17" ht="18.75" x14ac:dyDescent="0.3">
      <c r="B15" s="17" t="s">
        <v>29</v>
      </c>
      <c r="C15" s="18">
        <v>400.70749966277418</v>
      </c>
      <c r="D15" t="s">
        <v>16</v>
      </c>
      <c r="E15" t="s">
        <v>30</v>
      </c>
    </row>
    <row r="17" spans="2:19" ht="42.75" customHeight="1" x14ac:dyDescent="0.25">
      <c r="B17" s="3" t="s">
        <v>1</v>
      </c>
      <c r="C17" s="3" t="s">
        <v>33</v>
      </c>
      <c r="D17" s="3" t="s">
        <v>31</v>
      </c>
      <c r="E17" s="3" t="s">
        <v>34</v>
      </c>
      <c r="F17" s="3" t="s">
        <v>32</v>
      </c>
      <c r="O17" s="22"/>
      <c r="P17" s="22" t="s">
        <v>46</v>
      </c>
      <c r="Q17" s="22" t="s">
        <v>47</v>
      </c>
    </row>
    <row r="18" spans="2:19" ht="15.75" x14ac:dyDescent="0.25">
      <c r="B18" s="15" t="s">
        <v>14</v>
      </c>
      <c r="C18" s="5">
        <v>3.5999999999999997E-2</v>
      </c>
      <c r="D18" s="16">
        <f xml:space="preserve"> IF(G5=0, J5, 10^(G5-H5/($C$15+I5)))</f>
        <v>2500</v>
      </c>
      <c r="E18" s="16">
        <f xml:space="preserve"> $P$5/D18</f>
        <v>2.5999999999999999E-2</v>
      </c>
      <c r="F18" s="16">
        <f xml:space="preserve"> E18*C18</f>
        <v>9.3599999999999987E-4</v>
      </c>
      <c r="O18" s="22" t="s">
        <v>52</v>
      </c>
      <c r="P18" s="22">
        <f xml:space="preserve"> SUM(N33:N39)^2</f>
        <v>9.902514861951285E-6</v>
      </c>
      <c r="Q18" s="22">
        <f xml:space="preserve"> SUM(P33:P39)^2</f>
        <v>8.879293041028748E-7</v>
      </c>
    </row>
    <row r="19" spans="2:19" ht="18.75" x14ac:dyDescent="0.25">
      <c r="B19" s="15" t="s">
        <v>19</v>
      </c>
      <c r="C19" s="5">
        <v>8.7999999999999995E-2</v>
      </c>
      <c r="D19" s="16">
        <f t="shared" ref="D19:D24" si="0" xml:space="preserve"> IF(G6=0, J6, 10^(G6-H6/($C$15+I6)))</f>
        <v>164</v>
      </c>
      <c r="E19" s="16">
        <f t="shared" ref="E19:E24" si="1" xml:space="preserve"> $P$5/D19</f>
        <v>0.39634146341463417</v>
      </c>
      <c r="F19" s="16">
        <f t="shared" ref="F19:F24" si="2" xml:space="preserve"> E19*C19</f>
        <v>3.4878048780487801E-2</v>
      </c>
      <c r="O19" s="22" t="s">
        <v>53</v>
      </c>
      <c r="P19" s="22">
        <f xml:space="preserve"> SUM(O33:O39)</f>
        <v>2.9016498693937041E-5</v>
      </c>
      <c r="Q19" s="22">
        <f xml:space="preserve"> SUM(Q33:Q39)</f>
        <v>2.4251667912181233E-5</v>
      </c>
    </row>
    <row r="20" spans="2:19" ht="18.75" x14ac:dyDescent="0.25">
      <c r="B20" s="15" t="s">
        <v>20</v>
      </c>
      <c r="C20" s="12">
        <v>0.51</v>
      </c>
      <c r="D20" s="16">
        <f t="shared" si="0"/>
        <v>6200</v>
      </c>
      <c r="E20" s="16">
        <f t="shared" si="1"/>
        <v>1.0483870967741936E-2</v>
      </c>
      <c r="F20" s="16">
        <f t="shared" si="2"/>
        <v>5.3467741935483877E-3</v>
      </c>
      <c r="O20" s="22" t="s">
        <v>54</v>
      </c>
      <c r="P20" s="22">
        <f xml:space="preserve"> P18*$P$5/(0.00008314*$C$30)^2</f>
        <v>0.64741879320086826</v>
      </c>
      <c r="Q20" s="22">
        <f xml:space="preserve"> Q18*$P$5/(0.00008314*$C$30)^2</f>
        <v>5.8052133879523786E-2</v>
      </c>
    </row>
    <row r="21" spans="2:19" ht="18.75" x14ac:dyDescent="0.25">
      <c r="B21" s="15" t="s">
        <v>21</v>
      </c>
      <c r="C21" s="5">
        <v>2.3E-2</v>
      </c>
      <c r="D21" s="16">
        <f t="shared" si="0"/>
        <v>2.7667366533643323</v>
      </c>
      <c r="E21" s="16">
        <f t="shared" si="1"/>
        <v>23.49338160571244</v>
      </c>
      <c r="F21" s="16">
        <f t="shared" si="2"/>
        <v>0.54034777693138614</v>
      </c>
      <c r="O21" s="22" t="s">
        <v>55</v>
      </c>
      <c r="P21" s="22">
        <f xml:space="preserve"> P19*$P$5/(0.00008314*$C$30)</f>
        <v>5.9816580797219326E-2</v>
      </c>
      <c r="Q21" s="22">
        <f xml:space="preserve"> Q19*$P$5/(0.00008314*$C$30)</f>
        <v>4.9994035063900794E-2</v>
      </c>
    </row>
    <row r="22" spans="2:19" ht="18.75" x14ac:dyDescent="0.25">
      <c r="B22" s="15" t="s">
        <v>22</v>
      </c>
      <c r="C22" s="5">
        <v>4.9000000000000002E-2</v>
      </c>
      <c r="D22" s="16">
        <f t="shared" si="0"/>
        <v>7.9014440996474518</v>
      </c>
      <c r="E22" s="16">
        <f t="shared" si="1"/>
        <v>8.2263443467125441</v>
      </c>
      <c r="F22" s="16">
        <f t="shared" si="2"/>
        <v>0.40309087298891466</v>
      </c>
      <c r="O22" s="22" t="s">
        <v>41</v>
      </c>
      <c r="P22" s="22">
        <v>-1</v>
      </c>
      <c r="Q22" s="22">
        <v>-1</v>
      </c>
    </row>
    <row r="23" spans="2:19" ht="18.75" x14ac:dyDescent="0.25">
      <c r="B23" s="15" t="s">
        <v>23</v>
      </c>
      <c r="C23" s="5">
        <v>3.7999999999999999E-2</v>
      </c>
      <c r="D23" s="16">
        <f t="shared" si="0"/>
        <v>3660</v>
      </c>
      <c r="E23" s="16">
        <f t="shared" si="1"/>
        <v>1.7759562841530054E-2</v>
      </c>
      <c r="F23" s="16">
        <f t="shared" si="2"/>
        <v>6.7486338797814207E-4</v>
      </c>
      <c r="O23" s="22" t="s">
        <v>59</v>
      </c>
      <c r="P23" s="22">
        <f xml:space="preserve"> P20 - P21 - P21^2</f>
        <v>0.58402418906537867</v>
      </c>
      <c r="Q23" s="22">
        <f xml:space="preserve"> Q20 - Q21 - Q21^2</f>
        <v>5.5586952736524503E-3</v>
      </c>
    </row>
    <row r="24" spans="2:19" ht="18.75" x14ac:dyDescent="0.25">
      <c r="B24" s="15" t="s">
        <v>24</v>
      </c>
      <c r="C24" s="5">
        <v>0.25600000000000001</v>
      </c>
      <c r="D24" s="16">
        <f t="shared" si="0"/>
        <v>1130</v>
      </c>
      <c r="E24" s="16">
        <f t="shared" si="1"/>
        <v>5.7522123893805309E-2</v>
      </c>
      <c r="F24" s="16">
        <f t="shared" si="2"/>
        <v>1.472566371681416E-2</v>
      </c>
      <c r="H24">
        <f xml:space="preserve"> SUM(F18:F24)</f>
        <v>0.99999999999912936</v>
      </c>
      <c r="I24" t="s">
        <v>35</v>
      </c>
      <c r="O24" s="22" t="s">
        <v>60</v>
      </c>
      <c r="P24" s="22">
        <f xml:space="preserve"> -P20*P21</f>
        <v>-3.8726378553137965E-2</v>
      </c>
      <c r="Q24" s="22">
        <f xml:space="preserve"> -Q20*Q21</f>
        <v>-2.9022604167071755E-3</v>
      </c>
    </row>
    <row r="25" spans="2:19" x14ac:dyDescent="0.25">
      <c r="O25" s="22" t="s">
        <v>56</v>
      </c>
      <c r="P25" s="22">
        <f xml:space="preserve"> P23 - P22^2/3</f>
        <v>0.25069085573204536</v>
      </c>
      <c r="Q25" s="22">
        <f xml:space="preserve"> Q23 - Q22^2/3</f>
        <v>-0.32777463805968088</v>
      </c>
    </row>
    <row r="26" spans="2:19" x14ac:dyDescent="0.25">
      <c r="O26" s="22" t="s">
        <v>57</v>
      </c>
      <c r="P26" s="22">
        <f xml:space="preserve"> 2*P22^3/27 - (P22*P23)/3 +P24</f>
        <v>8.187427706124753E-2</v>
      </c>
      <c r="Q26" s="22">
        <f xml:space="preserve"> 2*Q22^3/27 - (Q22*Q23)/3 +Q24</f>
        <v>-7.5123436066230426E-2</v>
      </c>
    </row>
    <row r="27" spans="2:19" x14ac:dyDescent="0.25">
      <c r="O27" s="22" t="s">
        <v>58</v>
      </c>
      <c r="P27" s="22">
        <f xml:space="preserve"> P26^2 / 4 + P25^3 / 27</f>
        <v>2.2593638940652267E-3</v>
      </c>
      <c r="Q27" s="22">
        <f xml:space="preserve"> Q26^2 / 4 + Q25^3 / 27</f>
        <v>1.0662836726634461E-4</v>
      </c>
    </row>
    <row r="28" spans="2:19" x14ac:dyDescent="0.25">
      <c r="O28" s="22" t="s">
        <v>61</v>
      </c>
      <c r="P28" s="23">
        <f xml:space="preserve"> (-P26/2 +SQRT(P27))^(1/3) + (-P26/2 - SQRT(P27))^(1/3) - P22/3</f>
        <v>7.5283326219568958E-2</v>
      </c>
      <c r="Q28" s="23">
        <f xml:space="preserve"> (-Q26/2 +SQRT(Q27))^(1/3) + (-Q26/2 - SQRT(Q27))^(1/3) - Q22/3</f>
        <v>0.99734424031408131</v>
      </c>
    </row>
    <row r="29" spans="2:19" x14ac:dyDescent="0.25">
      <c r="C29" t="s">
        <v>65</v>
      </c>
    </row>
    <row r="30" spans="2:19" ht="18.75" x14ac:dyDescent="0.3">
      <c r="B30" s="17" t="s">
        <v>29</v>
      </c>
      <c r="C30" s="18">
        <v>379.25102099439397</v>
      </c>
      <c r="D30" t="s">
        <v>16</v>
      </c>
      <c r="E30" t="s">
        <v>36</v>
      </c>
    </row>
    <row r="31" spans="2:19" x14ac:dyDescent="0.25">
      <c r="G31" t="s">
        <v>73</v>
      </c>
      <c r="N31" s="30" t="s">
        <v>46</v>
      </c>
      <c r="O31" s="30"/>
      <c r="P31" s="30" t="s">
        <v>47</v>
      </c>
      <c r="Q31" s="30"/>
      <c r="R31" t="s">
        <v>64</v>
      </c>
    </row>
    <row r="32" spans="2:19" ht="15.75" x14ac:dyDescent="0.25">
      <c r="B32" s="3" t="s">
        <v>1</v>
      </c>
      <c r="C32" s="3" t="s">
        <v>33</v>
      </c>
      <c r="D32" s="3" t="s">
        <v>37</v>
      </c>
      <c r="E32" s="3" t="s">
        <v>38</v>
      </c>
      <c r="F32" s="3" t="s">
        <v>39</v>
      </c>
      <c r="G32" s="31" t="s">
        <v>74</v>
      </c>
      <c r="H32" s="3" t="s">
        <v>40</v>
      </c>
      <c r="I32" s="3" t="s">
        <v>41</v>
      </c>
      <c r="J32" s="3" t="s">
        <v>42</v>
      </c>
      <c r="K32" s="3" t="s">
        <v>43</v>
      </c>
      <c r="L32" s="3" t="s">
        <v>44</v>
      </c>
      <c r="M32" s="19" t="s">
        <v>45</v>
      </c>
      <c r="N32" s="3" t="s">
        <v>48</v>
      </c>
      <c r="O32" s="3" t="s">
        <v>49</v>
      </c>
      <c r="P32" s="3" t="s">
        <v>50</v>
      </c>
      <c r="Q32" s="3" t="s">
        <v>51</v>
      </c>
      <c r="R32" s="24" t="s">
        <v>62</v>
      </c>
      <c r="S32" s="24" t="s">
        <v>63</v>
      </c>
    </row>
    <row r="33" spans="2:22" ht="15.75" x14ac:dyDescent="0.25">
      <c r="B33" s="15" t="s">
        <v>14</v>
      </c>
      <c r="C33" s="5">
        <v>3.5999999999999997E-2</v>
      </c>
      <c r="D33" s="16">
        <f t="shared" ref="D33:D39" si="3" xml:space="preserve"> EXP(M33/$P$21*($P$28-1) + $P$20/$P$21 *(M33/$P$21 - 2*SQRT(L33/$P$20))*LN(1+$P$21/$P$28) - LN($P$28-$P$21))</f>
        <v>559.27272147503697</v>
      </c>
      <c r="E33" s="16">
        <f t="shared" ref="E33:E39" si="4" xml:space="preserve"> EXP(M33/$Q$21*($Q$28-1) + $Q$20/$Q$21 *(M33/$Q$21 - 2*SQRT(L33/$Q$20))*LN(1+$Q$21/$Q$28) - LN($Q$28-$Q$21))</f>
        <v>1.0274704496103648</v>
      </c>
      <c r="F33" s="16">
        <f xml:space="preserve"> E33/D33</f>
        <v>1.8371545940958714E-3</v>
      </c>
      <c r="G33" s="5">
        <v>7.8590486558363008E-5</v>
      </c>
      <c r="H33" s="16">
        <f xml:space="preserve"> 0.48+ 1.574*F5 - 0.176*F5^2</f>
        <v>0.58311734399999993</v>
      </c>
      <c r="I33" s="16">
        <f xml:space="preserve"> (1+H33*(1-SQRT($C$30/D5)))^2</f>
        <v>0.35777707330418351</v>
      </c>
      <c r="J33" s="16">
        <f xml:space="preserve"> 0.42748*I33*(0.00008314*D5)^2/E5</f>
        <v>5.3380799112949033E-7</v>
      </c>
      <c r="K33" s="16">
        <f xml:space="preserve"> 0.08664*0.00008314*D5/E5</f>
        <v>2.736370211008859E-5</v>
      </c>
      <c r="L33" s="16">
        <f xml:space="preserve"> J33*$P$5/(0.00008314*$C$30)^2</f>
        <v>3.4899955237222911E-2</v>
      </c>
      <c r="M33" s="20">
        <f xml:space="preserve"> K33*$P$5/(0.00008314*$C$30)</f>
        <v>5.6409393684744021E-2</v>
      </c>
      <c r="N33" s="16">
        <f xml:space="preserve"> G33*SQRT(J33)</f>
        <v>5.7419910731271448E-8</v>
      </c>
      <c r="O33" s="16">
        <f xml:space="preserve"> G33*K33</f>
        <v>2.1505266628699669E-9</v>
      </c>
      <c r="P33" s="16">
        <f xml:space="preserve"> C33*SQRT(J33)</f>
        <v>2.6302379293588999E-5</v>
      </c>
      <c r="Q33" s="16">
        <f xml:space="preserve"> C33*K33</f>
        <v>9.8509327596318907E-7</v>
      </c>
      <c r="R33" s="16">
        <f xml:space="preserve"> F33*C33</f>
        <v>6.6137565387451369E-5</v>
      </c>
      <c r="S33" s="16">
        <f xml:space="preserve"> ABS(R33-G33)</f>
        <v>1.245292117091164E-5</v>
      </c>
    </row>
    <row r="34" spans="2:22" ht="18.75" x14ac:dyDescent="0.25">
      <c r="B34" s="15" t="s">
        <v>19</v>
      </c>
      <c r="C34" s="5">
        <v>8.7999999999999995E-2</v>
      </c>
      <c r="D34" s="16">
        <f t="shared" si="3"/>
        <v>14.951741172447642</v>
      </c>
      <c r="E34" s="16">
        <f t="shared" si="4"/>
        <v>0.91465966729778447</v>
      </c>
      <c r="F34" s="16">
        <f t="shared" ref="F34:F39" si="5" xml:space="preserve"> E34/D34</f>
        <v>6.1174123919645947E-2</v>
      </c>
      <c r="G34" s="5">
        <v>6.0242424995471926E-3</v>
      </c>
      <c r="H34" s="16">
        <f t="shared" ref="H34:H39" si="6" xml:space="preserve"> 0.48+ 1.574*F6 - 0.176*F6^2</f>
        <v>0.82972281600000009</v>
      </c>
      <c r="I34" s="16">
        <f t="shared" ref="I34:I39" si="7" xml:space="preserve"> (1+H34*(1-SQRT($C$30/D6)))^2</f>
        <v>0.81589422724313343</v>
      </c>
      <c r="J34" s="16">
        <f t="shared" ref="J34:J39" si="8" xml:space="preserve"> 0.42748*I34*(0.00008314*D6)^2/E6</f>
        <v>3.0219378361670004E-6</v>
      </c>
      <c r="K34" s="16">
        <f t="shared" ref="K34:K39" si="9" xml:space="preserve"> 0.08664*0.00008314*D6/E6</f>
        <v>2.9682423405906261E-5</v>
      </c>
      <c r="L34" s="16">
        <f t="shared" ref="L34:L39" si="10" xml:space="preserve"> J34*$P$5/(0.00008314*$C$30)^2</f>
        <v>0.19757196775706365</v>
      </c>
      <c r="M34" s="20">
        <f t="shared" ref="M34:M39" si="11" xml:space="preserve"> K34*$P$5/(0.00008314*$C$30)</f>
        <v>6.1189363218645487E-2</v>
      </c>
      <c r="N34" s="16">
        <f t="shared" ref="N34:N39" si="12" xml:space="preserve"> G34*SQRT(J34)</f>
        <v>1.0472375566732872E-5</v>
      </c>
      <c r="O34" s="16">
        <f t="shared" ref="O34:O39" si="13" xml:space="preserve"> G34*K34</f>
        <v>1.7881411657141483E-7</v>
      </c>
      <c r="P34" s="16">
        <f t="shared" ref="P34:P39" si="14" xml:space="preserve"> C34*SQRT(J34)</f>
        <v>1.5297675183921657E-4</v>
      </c>
      <c r="Q34" s="16">
        <f t="shared" ref="Q34:Q39" si="15" xml:space="preserve"> C34*K34</f>
        <v>2.6120532597197509E-6</v>
      </c>
      <c r="R34" s="16">
        <f t="shared" ref="R34:R39" si="16" xml:space="preserve"> F34*C34</f>
        <v>5.3833229049288431E-3</v>
      </c>
      <c r="S34" s="16">
        <f t="shared" ref="S34:S39" si="17" xml:space="preserve"> ABS(R34-G34)</f>
        <v>6.4091959461834956E-4</v>
      </c>
    </row>
    <row r="35" spans="2:22" ht="18.75" x14ac:dyDescent="0.25">
      <c r="B35" s="15" t="s">
        <v>20</v>
      </c>
      <c r="C35" s="12">
        <v>0.51</v>
      </c>
      <c r="D35" s="16">
        <f t="shared" si="3"/>
        <v>470.58699852349667</v>
      </c>
      <c r="E35" s="16">
        <f t="shared" si="4"/>
        <v>1.0540147334107655</v>
      </c>
      <c r="F35" s="16">
        <f t="shared" si="5"/>
        <v>2.2397871949667515E-3</v>
      </c>
      <c r="G35" s="12">
        <v>1.3107476560423061E-3</v>
      </c>
      <c r="H35" s="16">
        <f t="shared" si="6"/>
        <v>0.12520159999999994</v>
      </c>
      <c r="I35" s="16">
        <f t="shared" si="7"/>
        <v>0.492683918534917</v>
      </c>
      <c r="J35" s="16">
        <f t="shared" si="8"/>
        <v>1.2206531192310973E-7</v>
      </c>
      <c r="K35" s="16">
        <f t="shared" si="9"/>
        <v>1.8202880558111195E-5</v>
      </c>
      <c r="L35" s="16">
        <f t="shared" si="10"/>
        <v>7.9805360596424246E-3</v>
      </c>
      <c r="M35" s="20">
        <f t="shared" si="11"/>
        <v>3.7524654064272113E-2</v>
      </c>
      <c r="N35" s="16">
        <f t="shared" si="12"/>
        <v>4.5794700429054387E-7</v>
      </c>
      <c r="O35" s="16">
        <f t="shared" si="13"/>
        <v>2.3859383024762315E-8</v>
      </c>
      <c r="P35" s="16">
        <f t="shared" si="14"/>
        <v>1.7818301723565252E-4</v>
      </c>
      <c r="Q35" s="16">
        <f t="shared" si="15"/>
        <v>9.2834690846367098E-6</v>
      </c>
      <c r="R35" s="16">
        <f t="shared" si="16"/>
        <v>1.1422914694330434E-3</v>
      </c>
      <c r="S35" s="16">
        <f t="shared" si="17"/>
        <v>1.6845618660926275E-4</v>
      </c>
    </row>
    <row r="36" spans="2:22" ht="18.75" x14ac:dyDescent="0.25">
      <c r="B36" s="15" t="s">
        <v>21</v>
      </c>
      <c r="C36" s="5">
        <v>2.3E-2</v>
      </c>
      <c r="D36" s="16">
        <f t="shared" si="3"/>
        <v>2.5706189701042482E-2</v>
      </c>
      <c r="E36" s="16">
        <f t="shared" si="4"/>
        <v>0.77775096941946242</v>
      </c>
      <c r="F36" s="16">
        <f t="shared" si="5"/>
        <v>30.255396792155537</v>
      </c>
      <c r="G36" s="5">
        <v>0.67093475534017533</v>
      </c>
      <c r="H36" s="16">
        <f t="shared" si="6"/>
        <v>1.0020815999999999</v>
      </c>
      <c r="I36" s="16">
        <f t="shared" si="7"/>
        <v>1.5250978919311777</v>
      </c>
      <c r="J36" s="16">
        <f t="shared" si="8"/>
        <v>8.55676425063562E-6</v>
      </c>
      <c r="K36" s="16">
        <f t="shared" si="9"/>
        <v>2.1135519898653364E-5</v>
      </c>
      <c r="L36" s="16">
        <f t="shared" si="10"/>
        <v>0.5594346549417073</v>
      </c>
      <c r="M36" s="20">
        <f t="shared" si="11"/>
        <v>4.3570195944185375E-2</v>
      </c>
      <c r="N36" s="16">
        <f t="shared" si="12"/>
        <v>1.9626148153363207E-3</v>
      </c>
      <c r="O36" s="16">
        <f t="shared" si="13"/>
        <v>1.4180554872190402E-5</v>
      </c>
      <c r="P36" s="16">
        <f t="shared" si="14"/>
        <v>6.727947895596578E-5</v>
      </c>
      <c r="Q36" s="16">
        <f t="shared" si="15"/>
        <v>4.8611695766902737E-7</v>
      </c>
      <c r="R36" s="16">
        <f t="shared" si="16"/>
        <v>0.69587412621957734</v>
      </c>
      <c r="S36" s="16">
        <f t="shared" si="17"/>
        <v>2.4939370879402012E-2</v>
      </c>
    </row>
    <row r="37" spans="2:22" ht="18.75" x14ac:dyDescent="0.25">
      <c r="B37" s="15" t="s">
        <v>22</v>
      </c>
      <c r="C37" s="5">
        <v>4.9000000000000002E-2</v>
      </c>
      <c r="D37" s="16">
        <f t="shared" si="3"/>
        <v>0.12458210277650354</v>
      </c>
      <c r="E37" s="16">
        <f t="shared" si="4"/>
        <v>0.75125779135743143</v>
      </c>
      <c r="F37" s="16">
        <f t="shared" si="5"/>
        <v>6.0302224365659072</v>
      </c>
      <c r="G37" s="5">
        <v>0.31925825506523414</v>
      </c>
      <c r="H37" s="16">
        <f t="shared" si="6"/>
        <v>1.314501344</v>
      </c>
      <c r="I37" s="16">
        <f t="shared" si="7"/>
        <v>1.4014090872978362</v>
      </c>
      <c r="J37" s="16">
        <f t="shared" si="8"/>
        <v>1.3438586292319449E-5</v>
      </c>
      <c r="K37" s="16">
        <f t="shared" si="9"/>
        <v>4.5605751975889334E-5</v>
      </c>
      <c r="L37" s="16">
        <f t="shared" si="10"/>
        <v>0.87860441928029398</v>
      </c>
      <c r="M37" s="20">
        <f t="shared" si="11"/>
        <v>9.401479401971187E-2</v>
      </c>
      <c r="N37" s="16">
        <f t="shared" si="12"/>
        <v>1.1703585381964466E-3</v>
      </c>
      <c r="O37" s="16">
        <f t="shared" si="13"/>
        <v>1.4560012796760284E-5</v>
      </c>
      <c r="P37" s="16">
        <f t="shared" si="14"/>
        <v>1.7962751929439708E-4</v>
      </c>
      <c r="Q37" s="16">
        <f t="shared" si="15"/>
        <v>2.2346818468185773E-6</v>
      </c>
      <c r="R37" s="16">
        <f t="shared" si="16"/>
        <v>0.29548089939172945</v>
      </c>
      <c r="S37" s="16">
        <f t="shared" si="17"/>
        <v>2.3777355673504696E-2</v>
      </c>
    </row>
    <row r="38" spans="2:22" ht="18.75" x14ac:dyDescent="0.25">
      <c r="B38" s="15" t="s">
        <v>23</v>
      </c>
      <c r="C38" s="5">
        <v>3.7999999999999999E-2</v>
      </c>
      <c r="D38" s="16">
        <f t="shared" si="3"/>
        <v>548.17395006701315</v>
      </c>
      <c r="E38" s="16">
        <f t="shared" si="4"/>
        <v>1.0289220218097268</v>
      </c>
      <c r="F38" s="16">
        <f t="shared" si="5"/>
        <v>1.8769991198668656E-3</v>
      </c>
      <c r="G38" s="5">
        <v>8.4546442459880813E-5</v>
      </c>
      <c r="H38" s="16">
        <f t="shared" si="6"/>
        <v>0.54267840000000001</v>
      </c>
      <c r="I38" s="16">
        <f t="shared" si="7"/>
        <v>0.36186372485958956</v>
      </c>
      <c r="J38" s="16">
        <f t="shared" si="8"/>
        <v>5.0095558816647902E-7</v>
      </c>
      <c r="K38" s="16">
        <f t="shared" si="9"/>
        <v>2.6762810093105477E-5</v>
      </c>
      <c r="L38" s="16">
        <f t="shared" si="10"/>
        <v>3.2752090439586004E-2</v>
      </c>
      <c r="M38" s="20">
        <f t="shared" si="11"/>
        <v>5.5170674076861596E-2</v>
      </c>
      <c r="N38" s="16">
        <f t="shared" si="12"/>
        <v>5.9840463793113937E-8</v>
      </c>
      <c r="O38" s="16">
        <f t="shared" si="13"/>
        <v>2.2627003836014597E-9</v>
      </c>
      <c r="P38" s="16">
        <f t="shared" si="14"/>
        <v>2.6895722137774917E-5</v>
      </c>
      <c r="Q38" s="16">
        <f t="shared" si="15"/>
        <v>1.016986783538008E-6</v>
      </c>
      <c r="R38" s="16">
        <f t="shared" si="16"/>
        <v>7.1325966554940887E-5</v>
      </c>
      <c r="S38" s="16">
        <f t="shared" si="17"/>
        <v>1.3220475904939926E-5</v>
      </c>
    </row>
    <row r="39" spans="2:22" ht="18.75" x14ac:dyDescent="0.25">
      <c r="B39" s="15" t="s">
        <v>24</v>
      </c>
      <c r="C39" s="5">
        <v>0.25600000000000001</v>
      </c>
      <c r="D39" s="16">
        <f t="shared" si="3"/>
        <v>125.87819254574643</v>
      </c>
      <c r="E39" s="16">
        <f t="shared" si="4"/>
        <v>0.97452067187646929</v>
      </c>
      <c r="F39" s="16">
        <f t="shared" si="5"/>
        <v>7.7417752206944881E-3</v>
      </c>
      <c r="G39" s="5">
        <v>2.3088595040354574E-3</v>
      </c>
      <c r="H39" s="16">
        <f t="shared" si="6"/>
        <v>0.49729270399999997</v>
      </c>
      <c r="I39" s="16">
        <f t="shared" si="7"/>
        <v>0.6332625555136866</v>
      </c>
      <c r="J39" s="16">
        <f t="shared" si="8"/>
        <v>1.4761788562422143E-6</v>
      </c>
      <c r="K39" s="16">
        <f t="shared" si="9"/>
        <v>2.9817448061859251E-5</v>
      </c>
      <c r="L39" s="16">
        <f t="shared" si="10"/>
        <v>9.6511436436122769E-2</v>
      </c>
      <c r="M39" s="20">
        <f t="shared" si="11"/>
        <v>6.1467712213388828E-2</v>
      </c>
      <c r="N39" s="16">
        <f t="shared" si="12"/>
        <v>2.8052204536638712E-6</v>
      </c>
      <c r="O39" s="16">
        <f t="shared" si="13"/>
        <v>6.8844298343707362E-8</v>
      </c>
      <c r="P39" s="16">
        <f t="shared" si="14"/>
        <v>3.1103513872662327E-4</v>
      </c>
      <c r="Q39" s="16">
        <f t="shared" si="15"/>
        <v>7.6332667038359684E-6</v>
      </c>
      <c r="R39" s="16">
        <f t="shared" si="16"/>
        <v>1.9818944564977889E-3</v>
      </c>
      <c r="S39" s="16">
        <f t="shared" si="17"/>
        <v>3.2696504753766849E-4</v>
      </c>
      <c r="U39">
        <f xml:space="preserve"> SUM(R33:R39)-1</f>
        <v>-2.025891121526513E-9</v>
      </c>
      <c r="V39" t="s">
        <v>67</v>
      </c>
    </row>
    <row r="45" spans="2:22" ht="15.75" thickBot="1" x14ac:dyDescent="0.3"/>
    <row r="46" spans="2:22" ht="16.5" thickTop="1" thickBot="1" x14ac:dyDescent="0.3">
      <c r="F46" s="36" t="s">
        <v>72</v>
      </c>
      <c r="G46" s="36"/>
      <c r="H46" s="36"/>
    </row>
    <row r="47" spans="2:22" ht="15.75" thickTop="1" x14ac:dyDescent="0.25"/>
    <row r="49" spans="2:25" x14ac:dyDescent="0.25">
      <c r="C49" t="s">
        <v>65</v>
      </c>
    </row>
    <row r="50" spans="2:25" ht="18.75" x14ac:dyDescent="0.3">
      <c r="B50" s="17" t="s">
        <v>75</v>
      </c>
      <c r="C50" s="18">
        <f xml:space="preserve"> $P$7</f>
        <v>313.14999999999998</v>
      </c>
      <c r="D50" t="s">
        <v>16</v>
      </c>
      <c r="E50" t="s">
        <v>36</v>
      </c>
    </row>
    <row r="51" spans="2:25" x14ac:dyDescent="0.25">
      <c r="G51" t="s">
        <v>77</v>
      </c>
      <c r="O51" s="21" t="s">
        <v>46</v>
      </c>
      <c r="P51" s="21"/>
      <c r="Q51" s="21" t="s">
        <v>47</v>
      </c>
      <c r="R51" s="21"/>
      <c r="S51" s="34" t="s">
        <v>68</v>
      </c>
      <c r="T51" s="34" t="s">
        <v>69</v>
      </c>
    </row>
    <row r="52" spans="2:25" ht="15.75" x14ac:dyDescent="0.25">
      <c r="B52" s="3" t="s">
        <v>1</v>
      </c>
      <c r="C52" s="3" t="s">
        <v>33</v>
      </c>
      <c r="D52" s="3" t="s">
        <v>37</v>
      </c>
      <c r="E52" s="3" t="s">
        <v>38</v>
      </c>
      <c r="F52" s="3" t="s">
        <v>39</v>
      </c>
      <c r="G52" s="31" t="s">
        <v>74</v>
      </c>
      <c r="H52" s="31" t="s">
        <v>76</v>
      </c>
      <c r="I52" s="3" t="s">
        <v>40</v>
      </c>
      <c r="J52" s="3" t="s">
        <v>41</v>
      </c>
      <c r="K52" s="3" t="s">
        <v>42</v>
      </c>
      <c r="L52" s="3" t="s">
        <v>43</v>
      </c>
      <c r="M52" s="3" t="s">
        <v>44</v>
      </c>
      <c r="N52" s="19" t="s">
        <v>45</v>
      </c>
      <c r="O52" s="3" t="s">
        <v>48</v>
      </c>
      <c r="P52" s="3" t="s">
        <v>49</v>
      </c>
      <c r="Q52" s="3" t="s">
        <v>78</v>
      </c>
      <c r="R52" s="3" t="s">
        <v>79</v>
      </c>
      <c r="S52" s="24" t="s">
        <v>62</v>
      </c>
      <c r="T52" s="24" t="s">
        <v>66</v>
      </c>
      <c r="U52" s="24" t="s">
        <v>70</v>
      </c>
      <c r="V52" s="24" t="s">
        <v>71</v>
      </c>
    </row>
    <row r="53" spans="2:25" ht="15.75" x14ac:dyDescent="0.25">
      <c r="B53" s="15" t="s">
        <v>14</v>
      </c>
      <c r="C53" s="5">
        <v>3.5999999999999997E-2</v>
      </c>
      <c r="D53" s="16">
        <f xml:space="preserve"> EXP(N53/$I$67*($I$74-1) + $I$66/$I$67*(N53/$I$67 - 2*SQRT(M53/$I$66))*LN(1+$I$67/$I$74) - LN($I$74-$I$67))</f>
        <v>27138.003388909288</v>
      </c>
      <c r="E53" s="16">
        <f xml:space="preserve"> EXP(N53/$J$67*($J$74-1) + $J$66/$J$67*(N53/$J$67 - 2*SQRT(M53/$J$66))*LN(1+$J$67/$J$74) - LN($J$74-$J$67))</f>
        <v>1.0091806912783188</v>
      </c>
      <c r="F53" s="16">
        <f xml:space="preserve"> E53/D53</f>
        <v>3.7186991128859133E-5</v>
      </c>
      <c r="G53" s="35">
        <v>9.0999999999999993E-6</v>
      </c>
      <c r="H53" s="21">
        <v>3.5999999999999997E-2</v>
      </c>
      <c r="I53" s="16">
        <f xml:space="preserve"> 0.48+ 1.574*F5 - 0.176*F5^2</f>
        <v>0.58311734399999993</v>
      </c>
      <c r="J53" s="16">
        <f xml:space="preserve"> (1+I53*(1-SQRT($C$50/D5)))^2</f>
        <v>0.47346587090366643</v>
      </c>
      <c r="K53" s="16">
        <f xml:space="preserve"> 0.42748*J53*(0.00008314*D5)^2/E5</f>
        <v>7.0641716385381792E-7</v>
      </c>
      <c r="L53" s="16">
        <f xml:space="preserve"> 0.08664*0.00008314*D5/E5</f>
        <v>2.736370211008859E-5</v>
      </c>
      <c r="M53" s="16">
        <f xml:space="preserve"> K53*$P$5/(0.00008314*$C$50)^2</f>
        <v>6.7740707311873538E-2</v>
      </c>
      <c r="N53" s="20">
        <f xml:space="preserve"> L53*$P$5/(0.00008314*$C$50)</f>
        <v>6.8316526101273797E-2</v>
      </c>
      <c r="O53" s="16">
        <f xml:space="preserve"> G53*SQRT(K53)</f>
        <v>7.6484250234106786E-9</v>
      </c>
      <c r="P53" s="16">
        <f xml:space="preserve"> G53*L53</f>
        <v>2.4900968920180614E-10</v>
      </c>
      <c r="Q53" s="16">
        <f xml:space="preserve"> H53*SQRT(K53)</f>
        <v>3.025750558711917E-5</v>
      </c>
      <c r="R53" s="16">
        <f xml:space="preserve"> H53*L53</f>
        <v>9.8509327596318907E-7</v>
      </c>
      <c r="S53" s="16">
        <f xml:space="preserve"> C53/(1-$C$63*(F53-1))</f>
        <v>1.8672533392276758E-2</v>
      </c>
      <c r="T53" s="37">
        <f xml:space="preserve"> F53*G53</f>
        <v>3.3840161927261808E-10</v>
      </c>
      <c r="U53" s="37">
        <f xml:space="preserve"> ABS(S53-G53)</f>
        <v>1.8663433392276756E-2</v>
      </c>
      <c r="V53" s="37">
        <f xml:space="preserve"> ABS(T53-H53)</f>
        <v>3.5999999661598378E-2</v>
      </c>
    </row>
    <row r="54" spans="2:25" ht="18.75" x14ac:dyDescent="0.25">
      <c r="B54" s="15" t="s">
        <v>19</v>
      </c>
      <c r="C54" s="5">
        <v>8.7999999999999995E-2</v>
      </c>
      <c r="D54" s="16">
        <f t="shared" ref="D54:D59" si="18" xml:space="preserve"> EXP(N54/$I$67*($I$74-1) + $I$66/$I$67*(N54/$I$67 - 2*SQRT(M54/$I$66))*LN(1+$I$67/$I$74) - LN($I$74-$I$67))</f>
        <v>69.417456960064214</v>
      </c>
      <c r="E54" s="16">
        <f t="shared" ref="E54:E59" si="19" xml:space="preserve"> EXP(N54/$J$67*($J$74-1) + $J$66/$J$67*(N54/$J$67 - 2*SQRT(M54/$J$66))*LN(1+$J$67/$J$74) - LN($J$74-$J$67))</f>
        <v>0.82574878636882498</v>
      </c>
      <c r="F54" s="16">
        <f t="shared" ref="F54:F59" si="20" xml:space="preserve"> E54/D54</f>
        <v>1.1895405313448421E-2</v>
      </c>
      <c r="G54" s="5">
        <v>1.3600000000000001E-3</v>
      </c>
      <c r="H54" s="21">
        <v>8.7999999999999995E-2</v>
      </c>
      <c r="I54" s="16">
        <f t="shared" ref="I54:I59" si="21" xml:space="preserve"> 0.48+ 1.574*F6 - 0.176*F6^2</f>
        <v>0.82972281600000009</v>
      </c>
      <c r="J54" s="16">
        <f t="shared" ref="J54:J59" si="22" xml:space="preserve"> (1+I54*(1-SQRT($C$50/D6)))^2</f>
        <v>0.97588481882613554</v>
      </c>
      <c r="K54" s="16">
        <f t="shared" ref="K54:K59" si="23" xml:space="preserve"> 0.42748*J54*(0.00008314*D6)^2/E6</f>
        <v>3.6145166362022402E-6</v>
      </c>
      <c r="L54" s="16">
        <f t="shared" ref="L54:L59" si="24" xml:space="preserve"> 0.08664*0.00008314*D6/E6</f>
        <v>2.9682423405906261E-5</v>
      </c>
      <c r="M54" s="16">
        <f t="shared" ref="M54:M59" si="25" xml:space="preserve"> K54*$P$5/(0.00008314*$C$50)^2</f>
        <v>0.34660810361841882</v>
      </c>
      <c r="N54" s="20">
        <f t="shared" ref="N54:N59" si="26" xml:space="preserve"> L54*$P$5/(0.00008314*$C$50)</f>
        <v>7.4105471737723513E-2</v>
      </c>
      <c r="O54" s="16">
        <f xml:space="preserve"> G54*SQRT(K54)</f>
        <v>2.5856159750279359E-6</v>
      </c>
      <c r="P54" s="16">
        <f xml:space="preserve"> G54*L54</f>
        <v>4.0368095832032518E-8</v>
      </c>
      <c r="Q54" s="16">
        <f t="shared" ref="Q54:Q59" si="27" xml:space="preserve"> H54*SQRT(K54)</f>
        <v>1.6730456309004289E-4</v>
      </c>
      <c r="R54" s="16">
        <f t="shared" ref="R54:R59" si="28" xml:space="preserve"> H54*L54</f>
        <v>2.6120532597197509E-6</v>
      </c>
      <c r="S54" s="16">
        <f t="shared" ref="S54:S59" si="29" xml:space="preserve"> C54/(1-$C$63*(F54-1))</f>
        <v>4.5905992384834463E-2</v>
      </c>
      <c r="T54" s="37">
        <f t="shared" ref="T54:T59" si="30" xml:space="preserve"> F54*G54</f>
        <v>1.6177751226289855E-5</v>
      </c>
      <c r="U54" s="37">
        <f t="shared" ref="U54:U59" si="31" xml:space="preserve"> ABS(S54-G54)</f>
        <v>4.4545992384834462E-2</v>
      </c>
      <c r="V54" s="37">
        <f t="shared" ref="V54:V59" si="32" xml:space="preserve"> ABS(T54-H54)</f>
        <v>8.7983822248773699E-2</v>
      </c>
    </row>
    <row r="55" spans="2:25" ht="18.75" x14ac:dyDescent="0.25">
      <c r="B55" s="15" t="s">
        <v>20</v>
      </c>
      <c r="C55" s="12">
        <v>0.51</v>
      </c>
      <c r="D55" s="16">
        <f t="shared" si="18"/>
        <v>15020.064360422086</v>
      </c>
      <c r="E55" s="16">
        <f t="shared" si="19"/>
        <v>1.0779636714712122</v>
      </c>
      <c r="F55" s="16">
        <f t="shared" si="20"/>
        <v>7.176824583466165E-5</v>
      </c>
      <c r="G55" s="12">
        <v>2.4000000000000001E-4</v>
      </c>
      <c r="H55" s="21">
        <v>0.51</v>
      </c>
      <c r="I55" s="16">
        <f t="shared" si="21"/>
        <v>0.12520159999999994</v>
      </c>
      <c r="J55" s="16">
        <f t="shared" si="22"/>
        <v>0.54844007537642003</v>
      </c>
      <c r="K55" s="16">
        <f t="shared" si="23"/>
        <v>1.3587922469852651E-7</v>
      </c>
      <c r="L55" s="16">
        <f t="shared" si="24"/>
        <v>1.8202880558111195E-5</v>
      </c>
      <c r="M55" s="16">
        <f t="shared" si="25"/>
        <v>1.3029913854091918E-2</v>
      </c>
      <c r="N55" s="20">
        <f t="shared" si="26"/>
        <v>4.5445516098791744E-2</v>
      </c>
      <c r="O55" s="16">
        <f xml:space="preserve"> G55*SQRT(K55)</f>
        <v>8.8468318298897979E-8</v>
      </c>
      <c r="P55" s="16">
        <f xml:space="preserve"> G55*L55</f>
        <v>4.3686913339466868E-9</v>
      </c>
      <c r="Q55" s="16">
        <f t="shared" si="27"/>
        <v>1.8799517638515821E-4</v>
      </c>
      <c r="R55" s="16">
        <f t="shared" si="28"/>
        <v>9.2834690846367098E-6</v>
      </c>
      <c r="S55" s="16">
        <f t="shared" si="29"/>
        <v>0.2645319595825143</v>
      </c>
      <c r="T55" s="37">
        <f t="shared" si="30"/>
        <v>1.7224379000318796E-8</v>
      </c>
      <c r="U55" s="37">
        <f t="shared" si="31"/>
        <v>0.26429195958251428</v>
      </c>
      <c r="V55" s="37">
        <f t="shared" si="32"/>
        <v>0.50999998277562097</v>
      </c>
    </row>
    <row r="56" spans="2:25" ht="18.75" x14ac:dyDescent="0.25">
      <c r="B56" s="15" t="s">
        <v>21</v>
      </c>
      <c r="C56" s="5">
        <v>2.3E-2</v>
      </c>
      <c r="D56" s="16">
        <f t="shared" si="18"/>
        <v>9.9971755000605417E-4</v>
      </c>
      <c r="E56" s="16">
        <f t="shared" si="19"/>
        <v>0.63860411516785431</v>
      </c>
      <c r="F56" s="16">
        <f t="shared" si="20"/>
        <v>638.78453985726969</v>
      </c>
      <c r="G56" s="5">
        <v>0.90230999999999995</v>
      </c>
      <c r="H56" s="21">
        <v>2.3E-2</v>
      </c>
      <c r="I56" s="16">
        <f t="shared" si="21"/>
        <v>1.0020815999999999</v>
      </c>
      <c r="J56" s="16">
        <f t="shared" si="22"/>
        <v>1.7030253783873341</v>
      </c>
      <c r="K56" s="16">
        <f t="shared" si="23"/>
        <v>9.5550500415795879E-6</v>
      </c>
      <c r="L56" s="16">
        <f t="shared" si="24"/>
        <v>2.1135519898653364E-5</v>
      </c>
      <c r="M56" s="16">
        <f t="shared" si="25"/>
        <v>0.91626574400574679</v>
      </c>
      <c r="N56" s="20">
        <f t="shared" si="26"/>
        <v>5.2767176422666796E-2</v>
      </c>
      <c r="O56" s="16">
        <f xml:space="preserve"> G56*SQRT(K56)</f>
        <v>2.7891524552191263E-3</v>
      </c>
      <c r="P56" s="16">
        <f xml:space="preserve"> G56*L56</f>
        <v>1.9070790959753916E-5</v>
      </c>
      <c r="Q56" s="16">
        <f t="shared" si="27"/>
        <v>7.1095861145326891E-5</v>
      </c>
      <c r="R56" s="16">
        <f t="shared" si="28"/>
        <v>4.8611695766902737E-7</v>
      </c>
      <c r="S56" s="16">
        <f t="shared" si="29"/>
        <v>-3.8926043789102823E-5</v>
      </c>
      <c r="T56" s="37">
        <f t="shared" si="30"/>
        <v>576.381678158613</v>
      </c>
      <c r="U56" s="37">
        <f t="shared" si="31"/>
        <v>0.90234892604378902</v>
      </c>
      <c r="V56" s="37">
        <f t="shared" si="32"/>
        <v>576.35867815861297</v>
      </c>
    </row>
    <row r="57" spans="2:25" ht="18.75" x14ac:dyDescent="0.25">
      <c r="B57" s="15" t="s">
        <v>22</v>
      </c>
      <c r="C57" s="5">
        <v>4.9000000000000002E-2</v>
      </c>
      <c r="D57" s="16">
        <f t="shared" si="18"/>
        <v>5.2388527760621237E-2</v>
      </c>
      <c r="E57" s="16">
        <f t="shared" si="19"/>
        <v>0.57517123220684341</v>
      </c>
      <c r="F57" s="16">
        <f t="shared" si="20"/>
        <v>10.978953919739295</v>
      </c>
      <c r="G57" s="5">
        <v>9.5740000000000006E-2</v>
      </c>
      <c r="H57" s="21">
        <v>4.9000000000000002E-2</v>
      </c>
      <c r="I57" s="16">
        <f t="shared" si="21"/>
        <v>1.314501344</v>
      </c>
      <c r="J57" s="16">
        <f t="shared" si="22"/>
        <v>1.6565272406992144</v>
      </c>
      <c r="K57" s="16">
        <f t="shared" si="23"/>
        <v>1.5885000655046487E-5</v>
      </c>
      <c r="L57" s="16">
        <f t="shared" si="24"/>
        <v>4.5605751975889334E-5</v>
      </c>
      <c r="M57" s="16">
        <f t="shared" si="25"/>
        <v>1.5232659044579753</v>
      </c>
      <c r="N57" s="20">
        <f t="shared" si="26"/>
        <v>0.11385983273368472</v>
      </c>
      <c r="O57" s="16">
        <f xml:space="preserve"> G57*SQRT(K57)</f>
        <v>3.815812634685472E-4</v>
      </c>
      <c r="P57" s="16">
        <f xml:space="preserve"> G57*L57</f>
        <v>4.3662946941716449E-6</v>
      </c>
      <c r="Q57" s="16">
        <f t="shared" si="27"/>
        <v>1.9529435878377701E-4</v>
      </c>
      <c r="R57" s="16">
        <f t="shared" si="28"/>
        <v>2.2346818468185773E-6</v>
      </c>
      <c r="S57" s="16">
        <f t="shared" si="29"/>
        <v>-5.93186640989447E-3</v>
      </c>
      <c r="T57" s="37">
        <f t="shared" si="30"/>
        <v>1.0511250482758401</v>
      </c>
      <c r="U57" s="37">
        <f t="shared" si="31"/>
        <v>0.10167186640989448</v>
      </c>
      <c r="V57" s="37">
        <f t="shared" si="32"/>
        <v>1.0021250482758401</v>
      </c>
    </row>
    <row r="58" spans="2:25" ht="18.75" x14ac:dyDescent="0.25">
      <c r="B58" s="15" t="s">
        <v>23</v>
      </c>
      <c r="C58" s="5">
        <v>3.7999999999999999E-2</v>
      </c>
      <c r="D58" s="16">
        <f t="shared" si="18"/>
        <v>26213.281639563844</v>
      </c>
      <c r="E58" s="16">
        <f t="shared" si="19"/>
        <v>1.0136806938899681</v>
      </c>
      <c r="F58" s="16">
        <f t="shared" si="20"/>
        <v>3.8670499475350485E-5</v>
      </c>
      <c r="G58" s="35">
        <v>1.0000000000000001E-5</v>
      </c>
      <c r="H58" s="21">
        <v>3.7999999999999999E-2</v>
      </c>
      <c r="I58" s="16">
        <f t="shared" si="21"/>
        <v>0.54267840000000001</v>
      </c>
      <c r="J58" s="16">
        <f t="shared" si="22"/>
        <v>0.47264412662732508</v>
      </c>
      <c r="K58" s="16">
        <f t="shared" si="23"/>
        <v>6.5431735811567315E-7</v>
      </c>
      <c r="L58" s="16">
        <f t="shared" si="24"/>
        <v>2.6762810093105477E-5</v>
      </c>
      <c r="M58" s="16">
        <f t="shared" si="25"/>
        <v>6.2744682481079006E-2</v>
      </c>
      <c r="N58" s="20">
        <f t="shared" si="26"/>
        <v>6.6816332341046475E-2</v>
      </c>
      <c r="O58" s="16">
        <f xml:space="preserve"> G58*SQRT(K58)</f>
        <v>8.088988553061954E-9</v>
      </c>
      <c r="P58" s="16">
        <f xml:space="preserve"> G58*L58</f>
        <v>2.676281009310548E-10</v>
      </c>
      <c r="Q58" s="16">
        <f t="shared" si="27"/>
        <v>3.0738156501635418E-5</v>
      </c>
      <c r="R58" s="16">
        <f t="shared" si="28"/>
        <v>1.016986783538008E-6</v>
      </c>
      <c r="S58" s="16">
        <f t="shared" si="29"/>
        <v>1.9709910432702909E-2</v>
      </c>
      <c r="T58" s="37">
        <f t="shared" si="30"/>
        <v>3.8670499475350487E-10</v>
      </c>
      <c r="U58" s="37">
        <f t="shared" si="31"/>
        <v>1.9699910432702909E-2</v>
      </c>
      <c r="V58" s="37">
        <f t="shared" si="32"/>
        <v>3.7999999613295005E-2</v>
      </c>
    </row>
    <row r="59" spans="2:25" ht="18.75" x14ac:dyDescent="0.25">
      <c r="B59" s="15" t="s">
        <v>24</v>
      </c>
      <c r="C59" s="5">
        <v>0.25600000000000001</v>
      </c>
      <c r="D59" s="16">
        <f t="shared" si="18"/>
        <v>3356.6903380881545</v>
      </c>
      <c r="E59" s="16">
        <f t="shared" si="19"/>
        <v>0.92671484813307881</v>
      </c>
      <c r="F59" s="16">
        <f t="shared" si="20"/>
        <v>2.7607993433820916E-4</v>
      </c>
      <c r="G59" s="5">
        <v>3.3E-4</v>
      </c>
      <c r="H59" s="21">
        <v>0.25600000000000001</v>
      </c>
      <c r="I59" s="16">
        <f t="shared" si="21"/>
        <v>0.49729270399999997</v>
      </c>
      <c r="J59" s="16">
        <f t="shared" si="22"/>
        <v>0.73932061894244083</v>
      </c>
      <c r="K59" s="16">
        <f t="shared" si="23"/>
        <v>1.723407544255395E-6</v>
      </c>
      <c r="L59" s="16">
        <f t="shared" si="24"/>
        <v>2.9817448061859251E-5</v>
      </c>
      <c r="M59" s="16">
        <f t="shared" si="25"/>
        <v>0.16526332032702137</v>
      </c>
      <c r="N59" s="20">
        <f t="shared" si="26"/>
        <v>7.4442575810689096E-2</v>
      </c>
      <c r="O59" s="16">
        <f xml:space="preserve"> G59*SQRT(K59)</f>
        <v>4.3321943812508293E-7</v>
      </c>
      <c r="P59" s="16">
        <f xml:space="preserve"> G59*L59</f>
        <v>9.8397578604135526E-9</v>
      </c>
      <c r="Q59" s="16">
        <f t="shared" si="27"/>
        <v>3.3607326109097343E-4</v>
      </c>
      <c r="R59" s="16">
        <f t="shared" si="28"/>
        <v>7.6332667038359684E-6</v>
      </c>
      <c r="S59" s="16">
        <f t="shared" si="29"/>
        <v>0.13279772980692506</v>
      </c>
      <c r="T59" s="37">
        <f t="shared" si="30"/>
        <v>9.1106378331609021E-8</v>
      </c>
      <c r="U59" s="37">
        <f t="shared" si="31"/>
        <v>0.13246772980692506</v>
      </c>
      <c r="V59" s="37">
        <f t="shared" si="32"/>
        <v>0.25599990889362167</v>
      </c>
      <c r="X59" s="38">
        <f xml:space="preserve"> SUM(T53:T59)-SUM(S53:S59)</f>
        <v>576.95717216055027</v>
      </c>
      <c r="Y59" t="s">
        <v>81</v>
      </c>
    </row>
    <row r="63" spans="2:25" ht="15.75" x14ac:dyDescent="0.25">
      <c r="B63" s="32" t="s">
        <v>80</v>
      </c>
      <c r="C63" s="33">
        <v>0.92800000000000005</v>
      </c>
      <c r="H63" s="22"/>
      <c r="I63" s="22" t="s">
        <v>46</v>
      </c>
      <c r="J63" s="22" t="s">
        <v>47</v>
      </c>
    </row>
    <row r="64" spans="2:25" x14ac:dyDescent="0.25">
      <c r="H64" s="22" t="s">
        <v>52</v>
      </c>
      <c r="I64" s="22">
        <f xml:space="preserve"> SUM(O53:O59)^2</f>
        <v>1.0073366731935738E-5</v>
      </c>
      <c r="J64" s="22">
        <f xml:space="preserve"> SUM(Q53:Q59)^2</f>
        <v>1.0378696608438675E-6</v>
      </c>
    </row>
    <row r="65" spans="8:10" x14ac:dyDescent="0.25">
      <c r="H65" s="22" t="s">
        <v>53</v>
      </c>
      <c r="I65" s="22">
        <f xml:space="preserve"> SUM(P53:P59)</f>
        <v>2.3492178836742088E-5</v>
      </c>
      <c r="J65" s="22">
        <f xml:space="preserve"> SUM(R53:R59)</f>
        <v>2.4251667912181233E-5</v>
      </c>
    </row>
    <row r="66" spans="8:10" x14ac:dyDescent="0.25">
      <c r="H66" s="22" t="s">
        <v>54</v>
      </c>
      <c r="I66" s="22">
        <f xml:space="preserve"> I64*$P$5/(0.00008314*$C$50)^2</f>
        <v>0.9659688670509573</v>
      </c>
      <c r="J66" s="22">
        <f xml:space="preserve"> J64*$P$5/(0.00008314*$C$50)^2</f>
        <v>9.952479713197715E-2</v>
      </c>
    </row>
    <row r="67" spans="8:10" x14ac:dyDescent="0.25">
      <c r="H67" s="22" t="s">
        <v>55</v>
      </c>
      <c r="I67" s="22">
        <f xml:space="preserve"> I65*$P$5/(0.00008314*$C$50)</f>
        <v>5.865083760301492E-2</v>
      </c>
      <c r="J67" s="22">
        <f xml:space="preserve"> J65*$P$5/(0.00008314*$C$50)</f>
        <v>6.0546986561117386E-2</v>
      </c>
    </row>
    <row r="68" spans="8:10" x14ac:dyDescent="0.25">
      <c r="H68" s="22" t="s">
        <v>41</v>
      </c>
      <c r="I68" s="22">
        <v>-1</v>
      </c>
      <c r="J68" s="22">
        <v>-1</v>
      </c>
    </row>
    <row r="69" spans="8:10" x14ac:dyDescent="0.25">
      <c r="H69" s="22" t="s">
        <v>59</v>
      </c>
      <c r="I69" s="22">
        <f xml:space="preserve"> I66 - I67 - I67^2</f>
        <v>0.90387810869640717</v>
      </c>
      <c r="J69" s="22">
        <f xml:space="preserve"> J66 - J67 - J67^2</f>
        <v>3.5311872989227631E-2</v>
      </c>
    </row>
    <row r="70" spans="8:10" x14ac:dyDescent="0.25">
      <c r="H70" s="22" t="s">
        <v>60</v>
      </c>
      <c r="I70" s="22">
        <f xml:space="preserve"> -I66*I67</f>
        <v>-5.6654883150974007E-2</v>
      </c>
      <c r="J70" s="22">
        <f xml:space="preserve"> -J66*J67</f>
        <v>-6.0259265544477542E-3</v>
      </c>
    </row>
    <row r="71" spans="8:10" x14ac:dyDescent="0.25">
      <c r="H71" s="22" t="s">
        <v>56</v>
      </c>
      <c r="I71" s="22">
        <f xml:space="preserve"> I69 - I68^2/3</f>
        <v>0.57054477536307391</v>
      </c>
      <c r="J71" s="22">
        <f xml:space="preserve"> J69 - J68^2/3</f>
        <v>-0.2980214603441057</v>
      </c>
    </row>
    <row r="72" spans="8:10" x14ac:dyDescent="0.25">
      <c r="H72" s="22" t="s">
        <v>57</v>
      </c>
      <c r="I72" s="22">
        <f xml:space="preserve"> 2*I68^3/27 - (I68*I69)/3 +I70</f>
        <v>0.17056374567375432</v>
      </c>
      <c r="J72" s="22">
        <f xml:space="preserve"> 2*J68^3/27 - (J68*J69)/3 +J70</f>
        <v>-6.8329376298779276E-2</v>
      </c>
    </row>
    <row r="73" spans="8:10" x14ac:dyDescent="0.25">
      <c r="H73" s="22" t="s">
        <v>58</v>
      </c>
      <c r="I73" s="22">
        <f xml:space="preserve"> (I72^2) / 4 + (I71^3) / 27</f>
        <v>1.4151683027239442E-2</v>
      </c>
      <c r="J73" s="22">
        <f xml:space="preserve"> J72^2 / 4 + J71^3 / 27</f>
        <v>1.8688111245866593E-4</v>
      </c>
    </row>
    <row r="74" spans="8:10" x14ac:dyDescent="0.25">
      <c r="H74" s="22" t="s">
        <v>61</v>
      </c>
      <c r="I74" s="23">
        <f xml:space="preserve"> (-I72/2 +SQRT(I73))^(1/3) + (-I72/2 - SQRT(I73))^(1/3) - I68/3</f>
        <v>6.7361770807574273E-2</v>
      </c>
      <c r="J74" s="23">
        <f xml:space="preserve"> (-J72/2 +SQRT(J73))^(1/3) + (-J72/2 - SQRT(J73))^(1/3) - J68/3</f>
        <v>0.97000044634990945</v>
      </c>
    </row>
  </sheetData>
  <mergeCells count="6">
    <mergeCell ref="A1:G1"/>
    <mergeCell ref="G3:I3"/>
    <mergeCell ref="O4:Q4"/>
    <mergeCell ref="N31:O31"/>
    <mergeCell ref="P31:Q31"/>
    <mergeCell ref="F46:H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2021-10-19T06:12:41Z</dcterms:created>
  <dcterms:modified xsi:type="dcterms:W3CDTF">2024-03-20T23:44:45Z</dcterms:modified>
</cp:coreProperties>
</file>