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5_Ta\"/>
    </mc:Choice>
  </mc:AlternateContent>
  <xr:revisionPtr revIDLastSave="0" documentId="13_ncr:1_{07ADA632-D294-4913-B351-AE61CD009A0F}" xr6:coauthVersionLast="47" xr6:coauthVersionMax="47" xr10:uidLastSave="{00000000-0000-0000-0000-000000000000}"/>
  <bookViews>
    <workbookView xWindow="-120" yWindow="-120" windowWidth="23280" windowHeight="14880" xr2:uid="{6C786923-AD08-4306-A568-CE1F9763C907}"/>
  </bookViews>
  <sheets>
    <sheet name="Sheet1" sheetId="1" r:id="rId1"/>
  </sheets>
  <calcPr calcId="191029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30" i="1" s="1"/>
  <c r="J22" i="1"/>
  <c r="K22" i="1" s="1"/>
  <c r="J23" i="1"/>
  <c r="K23" i="1" s="1"/>
  <c r="J24" i="1"/>
  <c r="K24" i="1" s="1"/>
  <c r="J25" i="1"/>
  <c r="K25" i="1" s="1"/>
  <c r="J26" i="1"/>
  <c r="K26" i="1" s="1"/>
  <c r="J21" i="1"/>
  <c r="K21" i="1" s="1"/>
  <c r="I22" i="1"/>
  <c r="I23" i="1"/>
  <c r="I24" i="1"/>
  <c r="I25" i="1"/>
  <c r="I26" i="1"/>
  <c r="I21" i="1"/>
  <c r="I29" i="1" s="1"/>
  <c r="M12" i="1"/>
  <c r="H22" i="1"/>
  <c r="H23" i="1"/>
  <c r="H24" i="1"/>
  <c r="H25" i="1"/>
  <c r="H26" i="1"/>
  <c r="H21" i="1"/>
  <c r="G22" i="1"/>
  <c r="G23" i="1"/>
  <c r="G24" i="1"/>
  <c r="G25" i="1"/>
  <c r="G26" i="1"/>
  <c r="G21" i="1"/>
  <c r="F22" i="1"/>
  <c r="F23" i="1"/>
  <c r="F24" i="1"/>
  <c r="F25" i="1"/>
  <c r="F26" i="1"/>
  <c r="F21" i="1"/>
  <c r="E22" i="1"/>
  <c r="E23" i="1"/>
  <c r="E24" i="1"/>
  <c r="E25" i="1"/>
  <c r="E26" i="1"/>
  <c r="E21" i="1"/>
  <c r="C22" i="1"/>
  <c r="C23" i="1"/>
  <c r="C24" i="1"/>
  <c r="C25" i="1"/>
  <c r="C26" i="1"/>
  <c r="C21" i="1"/>
  <c r="D22" i="1"/>
  <c r="D23" i="1"/>
  <c r="D24" i="1"/>
  <c r="D25" i="1"/>
  <c r="D26" i="1"/>
  <c r="D21" i="1"/>
  <c r="K12" i="1"/>
  <c r="L28" i="1" l="1"/>
  <c r="L29" i="1"/>
</calcChain>
</file>

<file path=xl/sharedStrings.xml><?xml version="1.0" encoding="utf-8"?>
<sst xmlns="http://schemas.openxmlformats.org/spreadsheetml/2006/main" count="71" uniqueCount="58">
  <si>
    <t>DH0F (298K)  [cal/mol]</t>
  </si>
  <si>
    <t>a</t>
  </si>
  <si>
    <r>
      <t>b x 10</t>
    </r>
    <r>
      <rPr>
        <b/>
        <vertAlign val="superscript"/>
        <sz val="11"/>
        <color theme="1"/>
        <rFont val="Tahoma"/>
        <family val="2"/>
      </rPr>
      <t>3</t>
    </r>
  </si>
  <si>
    <r>
      <t>c x 10</t>
    </r>
    <r>
      <rPr>
        <b/>
        <vertAlign val="superscript"/>
        <sz val="11"/>
        <color theme="1"/>
        <rFont val="Tahoma"/>
        <family val="2"/>
      </rPr>
      <t>6</t>
    </r>
  </si>
  <si>
    <r>
      <t>d x 10</t>
    </r>
    <r>
      <rPr>
        <b/>
        <vertAlign val="superscript"/>
        <sz val="11"/>
        <color theme="1"/>
        <rFont val="Tahoma"/>
        <family val="2"/>
      </rPr>
      <t>9</t>
    </r>
  </si>
  <si>
    <t>yi (1)</t>
  </si>
  <si>
    <t>yi (9)</t>
  </si>
  <si>
    <t>nu MeOH</t>
  </si>
  <si>
    <t>nu WGS</t>
  </si>
  <si>
    <r>
      <t>H</t>
    </r>
    <r>
      <rPr>
        <b/>
        <vertAlign val="subscript"/>
        <sz val="10"/>
        <color theme="1"/>
        <rFont val="Tahoma"/>
        <family val="2"/>
      </rPr>
      <t>2</t>
    </r>
  </si>
  <si>
    <t>CO</t>
  </si>
  <si>
    <r>
      <t>CO</t>
    </r>
    <r>
      <rPr>
        <b/>
        <vertAlign val="subscript"/>
        <sz val="10"/>
        <color theme="1"/>
        <rFont val="Tahoma"/>
        <family val="2"/>
      </rPr>
      <t>2</t>
    </r>
  </si>
  <si>
    <r>
      <t>CH</t>
    </r>
    <r>
      <rPr>
        <b/>
        <vertAlign val="subscript"/>
        <sz val="10"/>
        <color theme="1"/>
        <rFont val="Tahoma"/>
        <family val="2"/>
      </rPr>
      <t>4</t>
    </r>
  </si>
  <si>
    <r>
      <t>H</t>
    </r>
    <r>
      <rPr>
        <b/>
        <vertAlign val="subscript"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>O</t>
    </r>
  </si>
  <si>
    <r>
      <t>CH</t>
    </r>
    <r>
      <rPr>
        <b/>
        <vertAlign val="subscript"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>OH</t>
    </r>
  </si>
  <si>
    <t>T1 = T2 = T3 = T9</t>
  </si>
  <si>
    <t>K</t>
  </si>
  <si>
    <t>T5</t>
  </si>
  <si>
    <t>Kphi MeOH</t>
  </si>
  <si>
    <t>-</t>
  </si>
  <si>
    <t>T6</t>
  </si>
  <si>
    <t>Kphi WGS</t>
  </si>
  <si>
    <t>P</t>
  </si>
  <si>
    <t>Pf</t>
  </si>
  <si>
    <t>bar</t>
  </si>
  <si>
    <t>Dhev (TEbN) [cal/mol]</t>
  </si>
  <si>
    <t>CpL [cal/mol/K]</t>
  </si>
  <si>
    <t>Cp V [cal/mol/K]</t>
  </si>
  <si>
    <t>PROCESSES OF THE ORGANIC CHEMICAL INDUSTRY - TUTORIAL 4</t>
  </si>
  <si>
    <t>ANTOINE</t>
  </si>
  <si>
    <t>A</t>
  </si>
  <si>
    <t>B</t>
  </si>
  <si>
    <t>C</t>
  </si>
  <si>
    <t>Species</t>
  </si>
  <si>
    <t>Base</t>
  </si>
  <si>
    <t>mol/s</t>
  </si>
  <si>
    <t>F2</t>
  </si>
  <si>
    <t>y2</t>
  </si>
  <si>
    <t>h2</t>
  </si>
  <si>
    <t>H2</t>
  </si>
  <si>
    <t>cal/mol</t>
  </si>
  <si>
    <t>cal/s</t>
  </si>
  <si>
    <t>lambda EQ</t>
  </si>
  <si>
    <t>T 4 EQ</t>
  </si>
  <si>
    <t>(need initial guess)</t>
  </si>
  <si>
    <t>yEQ</t>
  </si>
  <si>
    <t>Keq</t>
  </si>
  <si>
    <t>Kp</t>
  </si>
  <si>
    <t>Kact</t>
  </si>
  <si>
    <t>= Kphi*Kp</t>
  </si>
  <si>
    <t>(P*yi/Pref)^nuM</t>
  </si>
  <si>
    <t>eq1</t>
  </si>
  <si>
    <t>eq2</t>
  </si>
  <si>
    <t>h4EQ</t>
  </si>
  <si>
    <t>H4EQ</t>
  </si>
  <si>
    <t>F4 EQ</t>
  </si>
  <si>
    <t>=ln(Keq)-ln(Kact) = 0   ------&gt; T4EQ</t>
  </si>
  <si>
    <t>= 1- H(2)/H(4EQ) = 0  --------&gt; lambdaM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</si>
</sst>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vertAlign val="superscript"/>
      <sz val="11"/>
      <color theme="1"/>
      <name val="Tahoma"/>
      <family val="2"/>
    </font>
    <font>
      <b/>
      <sz val="10"/>
      <color theme="1"/>
      <name val="Tahoma"/>
      <family val="2"/>
    </font>
    <font>
      <b/>
      <vertAlign val="subscript"/>
      <sz val="10"/>
      <color theme="1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quotePrefix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134469</xdr:colOff>
      <xdr:row>1</xdr:row>
      <xdr:rowOff>75201</xdr:rowOff>
    </xdr:from>
    <xdr:to>
      <xdr:col>28</xdr:col>
      <xdr:colOff>215287</xdr:colOff>
      <xdr:row>12</xdr:row>
      <xdr:rowOff>68639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EF8A71-A2A6-0078-8B6F-1BCA458D3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1940" y="366554"/>
          <a:ext cx="6131995" cy="2705261"/>
        </a:xfrm>
        <a:prstGeom prst="rect">
          <a:avLst/>
        </a:prstGeom>
      </xdr:spPr>
    </xdr:pic>
    <xdr:clientData/>
  </xdr:twoCellAnchor>
  <xdr:twoCellAnchor editAs="oneCell">
    <xdr:from>
      <xdr:col>12</xdr:col>
      <xdr:colOff>34636</xdr:colOff>
      <xdr:row>13</xdr:row>
      <xdr:rowOff>92363</xdr:rowOff>
    </xdr:from>
    <xdr:to>
      <xdr:col>31</xdr:col>
      <xdr:colOff>396404</xdr:colOff>
      <xdr:row>18</xdr:row>
      <xdr:rowOff>80818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DDAED2-D1AF-7F48-7D2B-B1A7D6F77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7909" y="3082636"/>
          <a:ext cx="12161222" cy="912091"/>
        </a:xfrm>
        <a:prstGeom prst="rect">
          <a:avLst/>
        </a:prstGeom>
      </xdr:spPr>
    </xdr:pic>
    <xdr:clientData/>
  </xdr:twoCellAnchor>
  <xdr:twoCellAnchor editAs="oneCell">
    <xdr:from>
      <xdr:col>15</xdr:col>
      <xdr:colOff>554182</xdr:colOff>
      <xdr:row>20</xdr:row>
      <xdr:rowOff>23090</xdr:rowOff>
    </xdr:from>
    <xdr:to>
      <xdr:col>27</xdr:col>
      <xdr:colOff>394191</xdr:colOff>
      <xdr:row>24</xdr:row>
      <xdr:rowOff>57727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052066-CBCA-814B-C576-BD2A93489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76364" y="4306454"/>
          <a:ext cx="7182919" cy="773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875B-7DF4-42A7-B449-29CAD20B0138}">
  <dimension ref="A1:P30"/>
  <sheetViews>
    <sheetView tabSelected="1" zoomScale="85" zoomScaleNormal="55" workbookViewId="0">
      <selection activeCell="M22" sqref="M22"/>
    </sheetView>
  </sheetViews>
  <sheetFormatPr defaultRowHeight="15" x14ac:dyDescent="0.25"/>
  <cols>
    <col min="2" max="2" width="19.140625" bestFit="1" customWidth="1"/>
    <col min="3" max="3" width="11.85546875" customWidth="1"/>
    <col min="6" max="6" width="12.140625" bestFit="1" customWidth="1"/>
    <col min="8" max="8" width="13.85546875" customWidth="1"/>
    <col min="9" max="9" width="23.42578125" customWidth="1"/>
    <col min="11" max="11" width="10.7109375" customWidth="1"/>
    <col min="12" max="12" width="13.42578125" bestFit="1" customWidth="1"/>
    <col min="13" max="13" width="11.28515625" customWidth="1"/>
  </cols>
  <sheetData>
    <row r="1" spans="1:16" ht="23.25" x14ac:dyDescent="0.35">
      <c r="A1" s="12" t="s">
        <v>28</v>
      </c>
      <c r="B1" s="12"/>
      <c r="C1" s="12"/>
      <c r="D1" s="12"/>
      <c r="E1" s="12"/>
      <c r="F1" s="12"/>
      <c r="G1" s="12"/>
      <c r="H1" s="12"/>
    </row>
    <row r="3" spans="1:16" ht="15.75" x14ac:dyDescent="0.25">
      <c r="D3" s="13" t="s">
        <v>27</v>
      </c>
      <c r="E3" s="14"/>
      <c r="F3" s="14"/>
      <c r="G3" s="15"/>
      <c r="N3" s="16" t="s">
        <v>29</v>
      </c>
      <c r="O3" s="17"/>
      <c r="P3" s="18"/>
    </row>
    <row r="4" spans="1:16" ht="57" x14ac:dyDescent="0.25">
      <c r="B4" s="9" t="s">
        <v>33</v>
      </c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9" t="s">
        <v>26</v>
      </c>
      <c r="M4" s="9" t="s">
        <v>25</v>
      </c>
      <c r="N4" s="11" t="s">
        <v>30</v>
      </c>
      <c r="O4" s="11" t="s">
        <v>31</v>
      </c>
      <c r="P4" s="11" t="s">
        <v>32</v>
      </c>
    </row>
    <row r="5" spans="1:16" ht="15.75" x14ac:dyDescent="0.25">
      <c r="B5" s="1" t="s">
        <v>9</v>
      </c>
      <c r="C5" s="2">
        <v>0</v>
      </c>
      <c r="D5" s="2">
        <v>6.4829999999999997</v>
      </c>
      <c r="E5" s="2">
        <v>2.2149999999999999</v>
      </c>
      <c r="F5" s="2">
        <v>-3.298</v>
      </c>
      <c r="G5" s="2">
        <v>1.8260000000000001</v>
      </c>
      <c r="H5" s="2">
        <v>0.75</v>
      </c>
      <c r="I5" s="2">
        <v>0</v>
      </c>
      <c r="J5" s="2">
        <v>-2</v>
      </c>
      <c r="K5" s="2">
        <v>1</v>
      </c>
      <c r="L5" s="3"/>
      <c r="M5" s="3"/>
      <c r="N5" s="10"/>
      <c r="O5" s="10"/>
      <c r="P5" s="10"/>
    </row>
    <row r="6" spans="1:16" ht="15.75" x14ac:dyDescent="0.25">
      <c r="B6" s="1" t="s">
        <v>10</v>
      </c>
      <c r="C6" s="2">
        <v>-26420</v>
      </c>
      <c r="D6" s="2">
        <v>7.3730000000000002</v>
      </c>
      <c r="E6" s="2">
        <v>-3.07</v>
      </c>
      <c r="F6" s="2">
        <v>6.6619999999999999</v>
      </c>
      <c r="G6" s="2">
        <v>-3.0369999999999999</v>
      </c>
      <c r="H6" s="2">
        <v>0.2</v>
      </c>
      <c r="I6" s="2">
        <v>0</v>
      </c>
      <c r="J6" s="2">
        <v>-1</v>
      </c>
      <c r="K6" s="2">
        <v>-1</v>
      </c>
      <c r="L6" s="3"/>
      <c r="M6" s="3"/>
      <c r="N6" s="10"/>
      <c r="O6" s="10"/>
      <c r="P6" s="10"/>
    </row>
    <row r="7" spans="1:16" ht="15.75" x14ac:dyDescent="0.25">
      <c r="B7" s="1" t="s">
        <v>11</v>
      </c>
      <c r="C7" s="2">
        <v>-94050</v>
      </c>
      <c r="D7" s="2">
        <v>4.7279999999999998</v>
      </c>
      <c r="E7" s="2">
        <v>17.54</v>
      </c>
      <c r="F7" s="2">
        <v>-13.38</v>
      </c>
      <c r="G7" s="2">
        <v>4.0970000000000004</v>
      </c>
      <c r="H7" s="2">
        <v>0</v>
      </c>
      <c r="I7" s="2">
        <v>1</v>
      </c>
      <c r="J7" s="2">
        <v>0</v>
      </c>
      <c r="K7" s="2">
        <v>1</v>
      </c>
      <c r="L7" s="3"/>
      <c r="M7" s="3"/>
      <c r="N7" s="10"/>
      <c r="O7" s="10"/>
      <c r="P7" s="10"/>
    </row>
    <row r="8" spans="1:16" ht="15.75" x14ac:dyDescent="0.25">
      <c r="B8" s="1" t="s">
        <v>12</v>
      </c>
      <c r="C8" s="2">
        <v>-17890</v>
      </c>
      <c r="D8" s="2">
        <v>4.5979999999999999</v>
      </c>
      <c r="E8" s="2">
        <v>12.45</v>
      </c>
      <c r="F8" s="2">
        <v>2.86</v>
      </c>
      <c r="G8" s="2">
        <v>-2.7090000000000001</v>
      </c>
      <c r="H8" s="2">
        <v>0.05</v>
      </c>
      <c r="I8" s="2">
        <v>0</v>
      </c>
      <c r="J8" s="2">
        <v>0</v>
      </c>
      <c r="K8" s="2">
        <v>0</v>
      </c>
      <c r="L8" s="3"/>
      <c r="M8" s="3"/>
      <c r="N8" s="10"/>
      <c r="O8" s="10"/>
      <c r="P8" s="10"/>
    </row>
    <row r="9" spans="1:16" ht="15.75" x14ac:dyDescent="0.25">
      <c r="B9" s="1" t="s">
        <v>13</v>
      </c>
      <c r="C9" s="2">
        <v>-57800</v>
      </c>
      <c r="D9" s="2">
        <v>7.7009999999999996</v>
      </c>
      <c r="E9" s="2">
        <v>0.45950000000000002</v>
      </c>
      <c r="F9" s="2">
        <v>2.5209999999999999</v>
      </c>
      <c r="G9" s="2">
        <v>-0.85899999999999999</v>
      </c>
      <c r="H9" s="2">
        <v>0</v>
      </c>
      <c r="I9" s="2">
        <v>0</v>
      </c>
      <c r="J9" s="2">
        <v>0</v>
      </c>
      <c r="K9" s="2">
        <v>-1</v>
      </c>
      <c r="L9" s="3">
        <v>19.09</v>
      </c>
      <c r="M9" s="3">
        <v>8395</v>
      </c>
      <c r="N9" s="10">
        <v>6.2096</v>
      </c>
      <c r="O9" s="10">
        <v>2354.73</v>
      </c>
      <c r="P9" s="10">
        <v>7.5590000000000002</v>
      </c>
    </row>
    <row r="10" spans="1:16" ht="15.75" x14ac:dyDescent="0.25">
      <c r="B10" s="4" t="s">
        <v>14</v>
      </c>
      <c r="C10" s="5">
        <v>-48080</v>
      </c>
      <c r="D10" s="5">
        <v>5.0620000000000003</v>
      </c>
      <c r="E10" s="5">
        <v>16.940000000000001</v>
      </c>
      <c r="F10" s="5">
        <v>6.1790000000000003</v>
      </c>
      <c r="G10" s="5">
        <v>-6.8109999999999999</v>
      </c>
      <c r="H10" s="2">
        <v>0</v>
      </c>
      <c r="I10" s="2">
        <v>0</v>
      </c>
      <c r="J10" s="2">
        <v>1</v>
      </c>
      <c r="K10" s="2">
        <v>0</v>
      </c>
      <c r="L10" s="3">
        <v>18.05</v>
      </c>
      <c r="M10" s="3">
        <v>9436</v>
      </c>
      <c r="N10" s="10">
        <v>5.2041000000000004</v>
      </c>
      <c r="O10" s="10">
        <v>1581.34</v>
      </c>
      <c r="P10" s="10">
        <v>-33.5</v>
      </c>
    </row>
    <row r="12" spans="1:16" x14ac:dyDescent="0.25">
      <c r="B12" s="8" t="s">
        <v>15</v>
      </c>
      <c r="C12" s="2">
        <v>453</v>
      </c>
      <c r="D12" s="3" t="s">
        <v>16</v>
      </c>
      <c r="F12" s="8" t="s">
        <v>18</v>
      </c>
      <c r="G12" s="3">
        <v>0.7</v>
      </c>
      <c r="H12" s="7" t="s">
        <v>19</v>
      </c>
      <c r="J12" s="9" t="s">
        <v>22</v>
      </c>
      <c r="K12" s="6">
        <f>70</f>
        <v>70</v>
      </c>
      <c r="L12" s="3" t="s">
        <v>24</v>
      </c>
      <c r="M12">
        <f xml:space="preserve"> K12/1.01325</f>
        <v>69.084628670120892</v>
      </c>
    </row>
    <row r="13" spans="1:16" x14ac:dyDescent="0.25">
      <c r="B13" s="9" t="s">
        <v>17</v>
      </c>
      <c r="C13" s="2">
        <v>520</v>
      </c>
      <c r="D13" s="3" t="s">
        <v>16</v>
      </c>
      <c r="F13" s="8" t="s">
        <v>21</v>
      </c>
      <c r="G13" s="3">
        <v>1.2</v>
      </c>
      <c r="H13" s="7" t="s">
        <v>19</v>
      </c>
      <c r="J13" s="9" t="s">
        <v>23</v>
      </c>
      <c r="K13" s="6">
        <v>10</v>
      </c>
      <c r="L13" s="3" t="s">
        <v>24</v>
      </c>
    </row>
    <row r="14" spans="1:16" x14ac:dyDescent="0.25">
      <c r="B14" s="9" t="s">
        <v>20</v>
      </c>
      <c r="C14" s="2">
        <v>570</v>
      </c>
      <c r="D14" s="3" t="s">
        <v>16</v>
      </c>
    </row>
    <row r="16" spans="1:16" x14ac:dyDescent="0.25">
      <c r="B16" s="22" t="s">
        <v>34</v>
      </c>
      <c r="C16" s="21">
        <v>100</v>
      </c>
      <c r="D16" s="20" t="s">
        <v>35</v>
      </c>
    </row>
    <row r="19" spans="2:13" x14ac:dyDescent="0.25">
      <c r="E19" s="19" t="s">
        <v>40</v>
      </c>
      <c r="F19" s="19" t="s">
        <v>41</v>
      </c>
    </row>
    <row r="20" spans="2:13" x14ac:dyDescent="0.25">
      <c r="B20" s="9" t="s">
        <v>33</v>
      </c>
      <c r="C20" s="23" t="s">
        <v>36</v>
      </c>
      <c r="D20" s="23" t="s">
        <v>37</v>
      </c>
      <c r="E20" s="23" t="s">
        <v>38</v>
      </c>
      <c r="F20" s="23" t="s">
        <v>39</v>
      </c>
      <c r="G20" s="23" t="s">
        <v>55</v>
      </c>
      <c r="H20" s="23" t="s">
        <v>45</v>
      </c>
      <c r="I20" s="23" t="s">
        <v>50</v>
      </c>
      <c r="J20" s="23" t="s">
        <v>53</v>
      </c>
      <c r="K20" s="23" t="s">
        <v>54</v>
      </c>
    </row>
    <row r="21" spans="2:13" x14ac:dyDescent="0.25">
      <c r="B21" s="1" t="s">
        <v>9</v>
      </c>
      <c r="C21" s="20">
        <f xml:space="preserve"> D21*$C$16</f>
        <v>75</v>
      </c>
      <c r="D21" s="20">
        <f xml:space="preserve"> H5</f>
        <v>0.75</v>
      </c>
      <c r="E21" s="20">
        <f xml:space="preserve"> C5+D5*($C$12-298)+E5/2/1000*($C$12^2-298^2)+F5/3/1000000*($C$12^3-298^3)+G5/4/1000000000*($C$12^4-298^4)</f>
        <v>1076.3056969838058</v>
      </c>
      <c r="F21" s="20">
        <f xml:space="preserve"> E21*C21</f>
        <v>80722.927273785433</v>
      </c>
      <c r="G21" s="20">
        <f xml:space="preserve"> C21+J5*$C$28</f>
        <v>65</v>
      </c>
      <c r="H21" s="20">
        <f xml:space="preserve"> G21/SUM($G$21:$G$26)</f>
        <v>0.72222222222222221</v>
      </c>
      <c r="I21" s="20">
        <f xml:space="preserve"> IF(H21=0,1,($M$12*H21/1)^J5)</f>
        <v>4.0169409763313624E-4</v>
      </c>
      <c r="J21" s="20">
        <f xml:space="preserve"> C5+D5*($C$29-298)+E5/2/1000*($C$29^2-298^2)+F5/3/1000000*($C$29^3-298^3)+G5/4/1000000000*($C$29^4-298^4)</f>
        <v>1754.7476209320957</v>
      </c>
      <c r="K21" s="20">
        <f xml:space="preserve"> J21*G21</f>
        <v>114058.59536058622</v>
      </c>
    </row>
    <row r="22" spans="2:13" x14ac:dyDescent="0.25">
      <c r="B22" s="1" t="s">
        <v>10</v>
      </c>
      <c r="C22" s="20">
        <f t="shared" ref="C22:C26" si="0" xml:space="preserve"> D22*$C$16</f>
        <v>20</v>
      </c>
      <c r="D22" s="20">
        <f t="shared" ref="D22:D26" si="1" xml:space="preserve"> H6</f>
        <v>0.2</v>
      </c>
      <c r="E22" s="20">
        <f t="shared" ref="E22:E26" si="2" xml:space="preserve"> C6+D6*($C$12-298)+E6/2/1000*($C$12^2-298^2)+F6/3/1000000*($C$12^3-298^3)+G6/4/1000000000*($C$12^4-298^4)</f>
        <v>-25334.18605042062</v>
      </c>
      <c r="F22" s="20">
        <f t="shared" ref="F22:F26" si="3" xml:space="preserve"> E22*C22</f>
        <v>-506683.72100841242</v>
      </c>
      <c r="G22" s="20">
        <f t="shared" ref="G22:G26" si="4" xml:space="preserve"> C22+J6*$C$28</f>
        <v>15</v>
      </c>
      <c r="H22" s="20">
        <f t="shared" ref="H22:H26" si="5" xml:space="preserve"> G22/SUM($G$21:$G$26)</f>
        <v>0.16666666666666666</v>
      </c>
      <c r="I22" s="20">
        <f t="shared" ref="I22:I26" si="6" xml:space="preserve"> IF(H22=0,1,($M$12*H22/1)^J6)</f>
        <v>8.6850000000000011E-2</v>
      </c>
      <c r="J22" s="20">
        <f t="shared" ref="J22:J26" si="7" xml:space="preserve"> C6+D6*($C$29-298)+E6/2/1000*($C$29^2-298^2)+F6/3/1000000*($C$29^3-298^3)+G6/4/1000000000*($C$29^4-298^4)</f>
        <v>-24642.819320577153</v>
      </c>
      <c r="K22" s="20">
        <f t="shared" ref="K22:K26" si="8" xml:space="preserve"> J22*G22</f>
        <v>-369642.28980865731</v>
      </c>
    </row>
    <row r="23" spans="2:13" x14ac:dyDescent="0.25">
      <c r="B23" s="1" t="s">
        <v>11</v>
      </c>
      <c r="C23" s="20">
        <f t="shared" si="0"/>
        <v>0</v>
      </c>
      <c r="D23" s="20">
        <f t="shared" si="1"/>
        <v>0</v>
      </c>
      <c r="E23" s="20">
        <f t="shared" si="2"/>
        <v>-92557.806159690837</v>
      </c>
      <c r="F23" s="20">
        <f t="shared" si="3"/>
        <v>0</v>
      </c>
      <c r="G23" s="20">
        <f t="shared" si="4"/>
        <v>0</v>
      </c>
      <c r="H23" s="20">
        <f t="shared" si="5"/>
        <v>0</v>
      </c>
      <c r="I23" s="20">
        <f t="shared" si="6"/>
        <v>1</v>
      </c>
      <c r="J23" s="20">
        <f t="shared" si="7"/>
        <v>-91522.78707268108</v>
      </c>
      <c r="K23" s="20">
        <f t="shared" si="8"/>
        <v>0</v>
      </c>
    </row>
    <row r="24" spans="2:13" x14ac:dyDescent="0.25">
      <c r="B24" s="1" t="s">
        <v>12</v>
      </c>
      <c r="C24" s="20">
        <f t="shared" si="0"/>
        <v>5</v>
      </c>
      <c r="D24" s="20">
        <f t="shared" si="1"/>
        <v>0.05</v>
      </c>
      <c r="E24" s="20">
        <f t="shared" si="2"/>
        <v>-16412.474539649553</v>
      </c>
      <c r="F24" s="20">
        <f t="shared" si="3"/>
        <v>-82062.372698247767</v>
      </c>
      <c r="G24" s="20">
        <f t="shared" si="4"/>
        <v>5</v>
      </c>
      <c r="H24" s="20">
        <f t="shared" si="5"/>
        <v>5.5555555555555552E-2</v>
      </c>
      <c r="I24" s="20">
        <f t="shared" si="6"/>
        <v>1</v>
      </c>
      <c r="J24" s="20">
        <f t="shared" si="7"/>
        <v>-15324.295903483264</v>
      </c>
      <c r="K24" s="20">
        <f t="shared" si="8"/>
        <v>-76621.479517416316</v>
      </c>
    </row>
    <row r="25" spans="2:13" x14ac:dyDescent="0.25">
      <c r="B25" s="1" t="s">
        <v>13</v>
      </c>
      <c r="C25" s="20">
        <f t="shared" si="0"/>
        <v>0</v>
      </c>
      <c r="D25" s="20">
        <f t="shared" si="1"/>
        <v>0</v>
      </c>
      <c r="E25" s="20">
        <f t="shared" si="2"/>
        <v>-56531.071803744497</v>
      </c>
      <c r="F25" s="20">
        <f t="shared" si="3"/>
        <v>0</v>
      </c>
      <c r="G25" s="20">
        <f t="shared" si="4"/>
        <v>0</v>
      </c>
      <c r="H25" s="20">
        <f t="shared" si="5"/>
        <v>0</v>
      </c>
      <c r="I25" s="20">
        <f t="shared" si="6"/>
        <v>1</v>
      </c>
      <c r="J25" s="20">
        <f t="shared" si="7"/>
        <v>-55710.63654052966</v>
      </c>
      <c r="K25" s="20">
        <f t="shared" si="8"/>
        <v>0</v>
      </c>
    </row>
    <row r="26" spans="2:13" x14ac:dyDescent="0.25">
      <c r="B26" s="4" t="s">
        <v>14</v>
      </c>
      <c r="C26" s="20">
        <f t="shared" si="0"/>
        <v>0</v>
      </c>
      <c r="D26" s="20">
        <f t="shared" si="1"/>
        <v>0</v>
      </c>
      <c r="E26" s="20">
        <f t="shared" si="2"/>
        <v>-46230.755789416144</v>
      </c>
      <c r="F26" s="20">
        <f t="shared" si="3"/>
        <v>0</v>
      </c>
      <c r="G26" s="20">
        <f t="shared" si="4"/>
        <v>5</v>
      </c>
      <c r="H26" s="20">
        <f t="shared" si="5"/>
        <v>5.5555555555555552E-2</v>
      </c>
      <c r="I26" s="20">
        <f t="shared" si="6"/>
        <v>3.8380349261178273</v>
      </c>
      <c r="J26" s="20">
        <f t="shared" si="7"/>
        <v>-44848.584141222651</v>
      </c>
      <c r="K26" s="20">
        <f t="shared" si="8"/>
        <v>-224242.92070611325</v>
      </c>
    </row>
    <row r="28" spans="2:13" x14ac:dyDescent="0.25">
      <c r="B28" s="24" t="s">
        <v>42</v>
      </c>
      <c r="C28" s="20">
        <v>5</v>
      </c>
      <c r="D28" s="19" t="s">
        <v>35</v>
      </c>
      <c r="E28" s="25" t="s">
        <v>44</v>
      </c>
      <c r="F28" s="25"/>
      <c r="H28" s="26" t="s">
        <v>46</v>
      </c>
      <c r="I28" s="20">
        <f xml:space="preserve"> EXP(-(-22828+56.02*$C$29)/1.987/$C$29)</f>
        <v>6.7233513709681928E-4</v>
      </c>
      <c r="K28" t="s">
        <v>51</v>
      </c>
      <c r="L28">
        <f xml:space="preserve"> LN(I28)-LN(I30)</f>
        <v>8.9184319988450103</v>
      </c>
      <c r="M28" s="27" t="s">
        <v>56</v>
      </c>
    </row>
    <row r="29" spans="2:13" x14ac:dyDescent="0.25">
      <c r="B29" s="24" t="s">
        <v>43</v>
      </c>
      <c r="C29" s="20">
        <v>550</v>
      </c>
      <c r="D29" s="19" t="s">
        <v>16</v>
      </c>
      <c r="H29" s="26" t="s">
        <v>47</v>
      </c>
      <c r="I29" s="20">
        <f xml:space="preserve"> PRODUCT(I21:I26)</f>
        <v>1.3389803254437876E-4</v>
      </c>
      <c r="K29" t="s">
        <v>52</v>
      </c>
      <c r="L29">
        <f>1 -  SUM(F21:F26)/ SUM(K21:K26)</f>
        <v>8.7025058945174094E-2</v>
      </c>
      <c r="M29" s="27" t="s">
        <v>57</v>
      </c>
    </row>
    <row r="30" spans="2:13" x14ac:dyDescent="0.25">
      <c r="H30" s="26" t="s">
        <v>48</v>
      </c>
      <c r="I30" s="20">
        <f xml:space="preserve"> I28*I29</f>
        <v>9.0024352067719257E-8</v>
      </c>
      <c r="J30" s="27" t="s">
        <v>49</v>
      </c>
    </row>
  </sheetData>
  <mergeCells count="4">
    <mergeCell ref="A1:H1"/>
    <mergeCell ref="D3:G3"/>
    <mergeCell ref="N3:P3"/>
    <mergeCell ref="E28:F28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Sina Ghanbari</cp:lastModifiedBy>
  <dcterms:created xsi:type="dcterms:W3CDTF">2021-11-02T07:23:17Z</dcterms:created>
  <dcterms:modified xsi:type="dcterms:W3CDTF">2024-04-02T21:33:22Z</dcterms:modified>
</cp:coreProperties>
</file>