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a\Documents\GitHub\Process-of-Organic-Industry--Spring-2024-\Session7_Ta\"/>
    </mc:Choice>
  </mc:AlternateContent>
  <xr:revisionPtr revIDLastSave="0" documentId="13_ncr:1_{1C07788F-5015-4564-941E-1E4FC5FEC1A1}" xr6:coauthVersionLast="47" xr6:coauthVersionMax="47" xr10:uidLastSave="{00000000-0000-0000-0000-000000000000}"/>
  <bookViews>
    <workbookView xWindow="-120" yWindow="-120" windowWidth="23280" windowHeight="14880" xr2:uid="{8B4CFB3B-6E69-415F-A796-98EB67215936}"/>
  </bookViews>
  <sheets>
    <sheet name="Sheet1" sheetId="1" r:id="rId1"/>
  </sheets>
  <calcPr calcId="191029" iterateDelta="1E-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0" i="1" l="1"/>
  <c r="N29" i="1"/>
  <c r="F25" i="1"/>
  <c r="F22" i="1"/>
  <c r="N25" i="1"/>
  <c r="N22" i="1"/>
  <c r="M25" i="1"/>
  <c r="M22" i="1"/>
  <c r="L25" i="1"/>
  <c r="L22" i="1"/>
  <c r="K25" i="1"/>
  <c r="J25" i="1"/>
  <c r="I25" i="1"/>
  <c r="H25" i="1"/>
  <c r="G25" i="1"/>
  <c r="K22" i="1"/>
  <c r="J22" i="1"/>
  <c r="I22" i="1"/>
  <c r="H22" i="1"/>
  <c r="G22" i="1"/>
  <c r="E20" i="1"/>
  <c r="E21" i="1"/>
  <c r="E22" i="1"/>
  <c r="E23" i="1"/>
  <c r="E24" i="1"/>
  <c r="E25" i="1"/>
  <c r="K19" i="1"/>
  <c r="G19" i="1"/>
  <c r="H19" i="1" s="1"/>
  <c r="E19" i="1"/>
  <c r="E27" i="1"/>
  <c r="N27" i="1"/>
  <c r="M27" i="1"/>
  <c r="L27" i="1"/>
  <c r="K27" i="1"/>
  <c r="J27" i="1"/>
  <c r="H27" i="1"/>
  <c r="G27" i="1"/>
  <c r="D27" i="1"/>
  <c r="C27" i="1"/>
  <c r="C20" i="1"/>
  <c r="K9" i="1"/>
  <c r="K8" i="1"/>
  <c r="K7" i="1"/>
  <c r="K6" i="1"/>
  <c r="K5" i="1"/>
  <c r="K4" i="1"/>
  <c r="C5" i="1"/>
  <c r="J19" i="1" l="1"/>
  <c r="L19" i="1" s="1"/>
  <c r="M19" i="1" s="1"/>
  <c r="F19" i="1" s="1"/>
  <c r="I19" i="1"/>
  <c r="N19" i="1" l="1"/>
  <c r="F29" i="1" s="1"/>
  <c r="I29" i="1" s="1"/>
</calcChain>
</file>

<file path=xl/sharedStrings.xml><?xml version="1.0" encoding="utf-8"?>
<sst xmlns="http://schemas.openxmlformats.org/spreadsheetml/2006/main" count="58" uniqueCount="40">
  <si>
    <t>F0</t>
  </si>
  <si>
    <t>ϕ</t>
  </si>
  <si>
    <t>a</t>
  </si>
  <si>
    <t xml:space="preserve">b </t>
  </si>
  <si>
    <t xml:space="preserve">c </t>
  </si>
  <si>
    <t xml:space="preserve">d </t>
  </si>
  <si>
    <t>Temperatures</t>
  </si>
  <si>
    <t>CO</t>
  </si>
  <si>
    <t>K</t>
  </si>
  <si>
    <t>CO2</t>
  </si>
  <si>
    <t>FM</t>
  </si>
  <si>
    <t>H2</t>
  </si>
  <si>
    <t>FF</t>
  </si>
  <si>
    <t>CH4</t>
  </si>
  <si>
    <t>FA</t>
  </si>
  <si>
    <t>CH3OH</t>
  </si>
  <si>
    <t>FA2</t>
  </si>
  <si>
    <t>H2O</t>
  </si>
  <si>
    <t>separator</t>
  </si>
  <si>
    <t>N2</t>
  </si>
  <si>
    <t>M</t>
  </si>
  <si>
    <t>MeOH yield</t>
  </si>
  <si>
    <t>R conv CO</t>
  </si>
  <si>
    <t>OV CO conv</t>
  </si>
  <si>
    <t>PROCESSES OF THE ORGANIC CHEMICAL INDUSTRY  - TUTORIAL 5</t>
  </si>
  <si>
    <t>MATERIAL BALANCE</t>
  </si>
  <si>
    <t>F</t>
  </si>
  <si>
    <t>R'</t>
  </si>
  <si>
    <t>FA1</t>
  </si>
  <si>
    <t>P</t>
  </si>
  <si>
    <t>G</t>
  </si>
  <si>
    <t>R</t>
  </si>
  <si>
    <t>S</t>
  </si>
  <si>
    <t>T (K)</t>
  </si>
  <si>
    <t>REC FRAC</t>
  </si>
  <si>
    <t>OV CO Conv</t>
  </si>
  <si>
    <t>eq1</t>
  </si>
  <si>
    <t xml:space="preserve"> -- GS in REC fraction</t>
  </si>
  <si>
    <t>lambda M</t>
  </si>
  <si>
    <t>lambda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</si>
</sst>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5" fillId="3" borderId="3" applyNumberFormat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2" fontId="0" fillId="0" borderId="1" xfId="0" applyNumberForma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3" borderId="3" xfId="1" applyAlignment="1">
      <alignment horizontal="center"/>
    </xf>
    <xf numFmtId="0" fontId="1" fillId="4" borderId="1" xfId="0" applyFont="1" applyFill="1" applyBorder="1"/>
    <xf numFmtId="0" fontId="0" fillId="4" borderId="1" xfId="0" applyFill="1" applyBorder="1"/>
    <xf numFmtId="2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9704C-37BA-45CD-A2BD-B1128D15BA11}">
  <dimension ref="A1:N30"/>
  <sheetViews>
    <sheetView tabSelected="1" zoomScale="93" zoomScaleNormal="85" workbookViewId="0">
      <selection activeCell="S16" sqref="S16"/>
    </sheetView>
  </sheetViews>
  <sheetFormatPr defaultRowHeight="15" x14ac:dyDescent="0.25"/>
  <cols>
    <col min="5" max="5" width="11.140625" bestFit="1" customWidth="1"/>
    <col min="11" max="11" width="9.140625" customWidth="1"/>
    <col min="13" max="13" width="10.85546875" customWidth="1"/>
  </cols>
  <sheetData>
    <row r="1" spans="1:12" ht="15.75" x14ac:dyDescent="0.25">
      <c r="A1" s="10" t="s">
        <v>24</v>
      </c>
      <c r="B1" s="10"/>
      <c r="C1" s="10"/>
      <c r="D1" s="10"/>
      <c r="E1" s="10"/>
      <c r="F1" s="10"/>
      <c r="G1" s="10"/>
    </row>
    <row r="3" spans="1:12" x14ac:dyDescent="0.25">
      <c r="C3" s="8" t="s">
        <v>0</v>
      </c>
      <c r="D3" s="9" t="s">
        <v>1</v>
      </c>
      <c r="E3" s="1" t="s">
        <v>2</v>
      </c>
      <c r="F3" s="1" t="s">
        <v>3</v>
      </c>
      <c r="G3" s="1" t="s">
        <v>4</v>
      </c>
      <c r="H3" s="1" t="s">
        <v>5</v>
      </c>
      <c r="J3" s="11" t="s">
        <v>6</v>
      </c>
      <c r="K3" s="11"/>
      <c r="L3" s="11"/>
    </row>
    <row r="4" spans="1:12" x14ac:dyDescent="0.25">
      <c r="B4" s="2" t="s">
        <v>7</v>
      </c>
      <c r="C4" s="3">
        <v>148.5651089461</v>
      </c>
      <c r="D4" s="4">
        <v>0</v>
      </c>
      <c r="E4" s="5">
        <v>29.556000000000001</v>
      </c>
      <c r="F4" s="6">
        <v>-6.5807000000000001E-3</v>
      </c>
      <c r="G4" s="6">
        <v>2.0129999999999999E-5</v>
      </c>
      <c r="H4" s="6">
        <v>-1.2226999999999999E-8</v>
      </c>
      <c r="J4" s="1" t="s">
        <v>0</v>
      </c>
      <c r="K4" s="5">
        <f>550+273.15</f>
        <v>823.15</v>
      </c>
      <c r="L4" s="4" t="s">
        <v>8</v>
      </c>
    </row>
    <row r="5" spans="1:12" x14ac:dyDescent="0.25">
      <c r="B5" s="2" t="s">
        <v>9</v>
      </c>
      <c r="C5" s="3">
        <f>75.4233392836</f>
        <v>75.423339283600001</v>
      </c>
      <c r="D5" s="4">
        <v>9.4999999999999998E-3</v>
      </c>
      <c r="E5" s="5">
        <v>27.437000000000001</v>
      </c>
      <c r="F5" s="6">
        <v>4.2314999999999998E-2</v>
      </c>
      <c r="G5" s="6">
        <v>-1.9555000000000002E-5</v>
      </c>
      <c r="H5" s="6">
        <v>3.9968000000000001E-9</v>
      </c>
      <c r="J5" s="1" t="s">
        <v>10</v>
      </c>
      <c r="K5" s="5">
        <f>550+273.15</f>
        <v>823.15</v>
      </c>
      <c r="L5" s="4" t="s">
        <v>8</v>
      </c>
    </row>
    <row r="6" spans="1:12" x14ac:dyDescent="0.25">
      <c r="B6" s="2" t="s">
        <v>11</v>
      </c>
      <c r="C6" s="3">
        <v>696.71788031999995</v>
      </c>
      <c r="D6" s="4">
        <v>0</v>
      </c>
      <c r="E6" s="5">
        <v>25.399000000000001</v>
      </c>
      <c r="F6" s="6">
        <v>2.0178000000000001E-2</v>
      </c>
      <c r="G6" s="6">
        <v>-3.8549E-5</v>
      </c>
      <c r="H6" s="6">
        <v>3.1879999999999998E-8</v>
      </c>
      <c r="J6" s="1" t="s">
        <v>12</v>
      </c>
      <c r="K6" s="5">
        <f>245+273.15</f>
        <v>518.15</v>
      </c>
      <c r="L6" s="4" t="s">
        <v>8</v>
      </c>
    </row>
    <row r="7" spans="1:12" x14ac:dyDescent="0.25">
      <c r="B7" s="2" t="s">
        <v>13</v>
      </c>
      <c r="C7" s="3">
        <v>24.788823020500001</v>
      </c>
      <c r="D7" s="4">
        <v>0</v>
      </c>
      <c r="E7" s="5">
        <v>34.942</v>
      </c>
      <c r="F7" s="6">
        <v>-3.9956999999999999E-2</v>
      </c>
      <c r="G7" s="6">
        <v>1.9184000000000001E-4</v>
      </c>
      <c r="H7" s="6">
        <v>-1.5302999999999999E-7</v>
      </c>
      <c r="J7" s="1" t="s">
        <v>14</v>
      </c>
      <c r="K7" s="5">
        <f>264+273.15</f>
        <v>537.15</v>
      </c>
      <c r="L7" s="4" t="s">
        <v>8</v>
      </c>
    </row>
    <row r="8" spans="1:12" x14ac:dyDescent="0.25">
      <c r="B8" s="2" t="s">
        <v>15</v>
      </c>
      <c r="C8" s="3">
        <v>0</v>
      </c>
      <c r="D8" s="4">
        <v>0.88</v>
      </c>
      <c r="E8" s="5">
        <v>40.045999999999999</v>
      </c>
      <c r="F8" s="6">
        <v>-3.8287000000000002E-2</v>
      </c>
      <c r="G8" s="6">
        <v>-2.4529E-4</v>
      </c>
      <c r="H8" s="6">
        <v>-2.1679E-7</v>
      </c>
      <c r="J8" s="1" t="s">
        <v>16</v>
      </c>
      <c r="K8" s="5">
        <f>110+273.15</f>
        <v>383.15</v>
      </c>
      <c r="L8" s="4" t="s">
        <v>8</v>
      </c>
    </row>
    <row r="9" spans="1:12" x14ac:dyDescent="0.25">
      <c r="B9" s="2" t="s">
        <v>17</v>
      </c>
      <c r="C9" s="3">
        <v>1.7690102429999999</v>
      </c>
      <c r="D9" s="4">
        <v>0.95</v>
      </c>
      <c r="E9" s="5">
        <v>33.933</v>
      </c>
      <c r="F9" s="6">
        <v>-8.4186E-3</v>
      </c>
      <c r="G9" s="6">
        <v>2.9906000000000001E-5</v>
      </c>
      <c r="H9" s="6">
        <v>-1.7824999999999999E-8</v>
      </c>
      <c r="J9" s="1" t="s">
        <v>18</v>
      </c>
      <c r="K9" s="5">
        <f>40+273.15</f>
        <v>313.14999999999998</v>
      </c>
      <c r="L9" s="4" t="s">
        <v>8</v>
      </c>
    </row>
    <row r="10" spans="1:12" x14ac:dyDescent="0.25">
      <c r="B10" s="2" t="s">
        <v>19</v>
      </c>
      <c r="C10" s="3">
        <v>3.1706106663</v>
      </c>
      <c r="D10" s="4">
        <v>0</v>
      </c>
      <c r="E10" s="5">
        <v>29.341999999999999</v>
      </c>
      <c r="F10" s="6">
        <v>-3.5395000000000001E-3</v>
      </c>
      <c r="G10" s="6">
        <v>1.0076E-5</v>
      </c>
      <c r="H10" s="6">
        <v>-4.3115999999999999E-9</v>
      </c>
    </row>
    <row r="12" spans="1:12" x14ac:dyDescent="0.25">
      <c r="B12" s="7" t="s">
        <v>20</v>
      </c>
      <c r="C12" s="4">
        <v>3</v>
      </c>
      <c r="E12" s="7" t="s">
        <v>21</v>
      </c>
      <c r="F12" s="4">
        <v>0.3</v>
      </c>
    </row>
    <row r="13" spans="1:12" x14ac:dyDescent="0.25">
      <c r="B13" s="7" t="s">
        <v>22</v>
      </c>
      <c r="C13" s="4">
        <v>0.42</v>
      </c>
      <c r="E13" s="7" t="s">
        <v>23</v>
      </c>
      <c r="F13" s="4">
        <v>0.98</v>
      </c>
    </row>
    <row r="16" spans="1:12" x14ac:dyDescent="0.25">
      <c r="B16" s="13" t="s">
        <v>25</v>
      </c>
      <c r="C16" s="13"/>
    </row>
    <row r="18" spans="2:14" x14ac:dyDescent="0.25">
      <c r="C18" s="8" t="s">
        <v>0</v>
      </c>
      <c r="D18" s="8" t="s">
        <v>10</v>
      </c>
      <c r="E18" s="8" t="s">
        <v>26</v>
      </c>
      <c r="F18" s="8" t="s">
        <v>27</v>
      </c>
      <c r="G18" s="8" t="s">
        <v>12</v>
      </c>
      <c r="H18" s="8" t="s">
        <v>14</v>
      </c>
      <c r="I18" s="8" t="s">
        <v>28</v>
      </c>
      <c r="J18" s="8" t="s">
        <v>16</v>
      </c>
      <c r="K18" s="8" t="s">
        <v>29</v>
      </c>
      <c r="L18" s="8" t="s">
        <v>30</v>
      </c>
      <c r="M18" s="8" t="s">
        <v>31</v>
      </c>
      <c r="N18" s="8" t="s">
        <v>32</v>
      </c>
    </row>
    <row r="19" spans="2:14" x14ac:dyDescent="0.25">
      <c r="B19" s="2" t="s">
        <v>7</v>
      </c>
      <c r="C19" s="3">
        <v>148.5651089461</v>
      </c>
      <c r="D19" s="12">
        <v>0</v>
      </c>
      <c r="E19" s="16">
        <f xml:space="preserve"> C19+D19</f>
        <v>148.5651089461</v>
      </c>
      <c r="F19" s="12">
        <f>M19</f>
        <v>198.08681193005228</v>
      </c>
      <c r="G19" s="12">
        <f>E19/(1-$C$29*(1-$C$13))</f>
        <v>346.65192087615225</v>
      </c>
      <c r="H19" s="12">
        <f>G19*(1-$C$13)</f>
        <v>201.05811410816833</v>
      </c>
      <c r="I19" s="12">
        <f>H19</f>
        <v>201.05811410816833</v>
      </c>
      <c r="J19" s="12">
        <f>H19</f>
        <v>201.05811410816833</v>
      </c>
      <c r="K19" s="12">
        <f>0</f>
        <v>0</v>
      </c>
      <c r="L19" s="12">
        <f>J19-K19</f>
        <v>201.05811410816833</v>
      </c>
      <c r="M19" s="12">
        <f>$C$29*L19</f>
        <v>198.08681193005228</v>
      </c>
      <c r="N19" s="12">
        <f>L19-M19</f>
        <v>2.9713021781160478</v>
      </c>
    </row>
    <row r="20" spans="2:14" x14ac:dyDescent="0.25">
      <c r="B20" s="2" t="s">
        <v>9</v>
      </c>
      <c r="C20" s="3">
        <f>75.4233392836</f>
        <v>75.423339283600001</v>
      </c>
      <c r="D20" s="17"/>
      <c r="E20" s="16">
        <f t="shared" ref="E20:E25" si="0" xml:space="preserve"> C20+D20</f>
        <v>75.423339283600001</v>
      </c>
      <c r="F20" s="12"/>
      <c r="G20" s="17"/>
      <c r="H20" s="12"/>
      <c r="I20" s="12"/>
      <c r="J20" s="12"/>
      <c r="K20" s="12"/>
      <c r="L20" s="12"/>
      <c r="M20" s="12"/>
      <c r="N20" s="12"/>
    </row>
    <row r="21" spans="2:14" x14ac:dyDescent="0.25">
      <c r="B21" s="2" t="s">
        <v>11</v>
      </c>
      <c r="C21" s="3">
        <v>696.71788031999995</v>
      </c>
      <c r="D21" s="12">
        <v>0</v>
      </c>
      <c r="E21" s="16">
        <f t="shared" si="0"/>
        <v>696.71788031999995</v>
      </c>
      <c r="F21" s="12"/>
      <c r="G21" s="17"/>
      <c r="H21" s="12"/>
      <c r="I21" s="12"/>
      <c r="J21" s="12"/>
      <c r="K21" s="12"/>
      <c r="L21" s="12"/>
      <c r="M21" s="12"/>
      <c r="N21" s="12"/>
    </row>
    <row r="22" spans="2:14" x14ac:dyDescent="0.25">
      <c r="B22" s="2" t="s">
        <v>13</v>
      </c>
      <c r="C22" s="3">
        <v>24.788823020500001</v>
      </c>
      <c r="D22" s="12">
        <v>0</v>
      </c>
      <c r="E22" s="16">
        <f t="shared" si="0"/>
        <v>24.788823020500001</v>
      </c>
      <c r="F22" s="12">
        <f>M22</f>
        <v>1652.5882018309262</v>
      </c>
      <c r="G22" s="12">
        <f xml:space="preserve"> C22/(1-$C$29)</f>
        <v>1677.3770248514263</v>
      </c>
      <c r="H22" s="12">
        <f>G22</f>
        <v>1677.3770248514263</v>
      </c>
      <c r="I22" s="12">
        <f>H22</f>
        <v>1677.3770248514263</v>
      </c>
      <c r="J22" s="12">
        <f>I22</f>
        <v>1677.3770248514263</v>
      </c>
      <c r="K22" s="12">
        <f>J22*D7</f>
        <v>0</v>
      </c>
      <c r="L22" s="12">
        <f>J22-K22</f>
        <v>1677.3770248514263</v>
      </c>
      <c r="M22" s="12">
        <f>L22*$C$29</f>
        <v>1652.5882018309262</v>
      </c>
      <c r="N22" s="12">
        <f>L22-M22</f>
        <v>24.788823020500104</v>
      </c>
    </row>
    <row r="23" spans="2:14" x14ac:dyDescent="0.25">
      <c r="B23" s="2" t="s">
        <v>15</v>
      </c>
      <c r="C23" s="3">
        <v>0</v>
      </c>
      <c r="D23" s="12">
        <v>0</v>
      </c>
      <c r="E23" s="16">
        <f t="shared" si="0"/>
        <v>0</v>
      </c>
      <c r="F23" s="12"/>
      <c r="G23" s="17"/>
      <c r="H23" s="12"/>
      <c r="I23" s="12"/>
      <c r="J23" s="12"/>
      <c r="K23" s="12"/>
      <c r="L23" s="12"/>
      <c r="M23" s="12"/>
      <c r="N23" s="12"/>
    </row>
    <row r="24" spans="2:14" x14ac:dyDescent="0.25">
      <c r="B24" s="2" t="s">
        <v>17</v>
      </c>
      <c r="C24" s="3">
        <v>1.7690102429999999</v>
      </c>
      <c r="D24" s="12">
        <v>0</v>
      </c>
      <c r="E24" s="16">
        <f t="shared" si="0"/>
        <v>1.7690102429999999</v>
      </c>
      <c r="F24" s="12"/>
      <c r="G24" s="12"/>
      <c r="H24" s="12"/>
      <c r="I24" s="12"/>
      <c r="J24" s="12"/>
      <c r="K24" s="12"/>
      <c r="L24" s="12"/>
      <c r="M24" s="12"/>
      <c r="N24" s="12"/>
    </row>
    <row r="25" spans="2:14" x14ac:dyDescent="0.25">
      <c r="B25" s="2" t="s">
        <v>19</v>
      </c>
      <c r="C25" s="3">
        <v>3.1706106663</v>
      </c>
      <c r="D25" s="12">
        <v>0</v>
      </c>
      <c r="E25" s="16">
        <f t="shared" si="0"/>
        <v>3.1706106663</v>
      </c>
      <c r="F25" s="12">
        <f>M25</f>
        <v>211.37404447938104</v>
      </c>
      <c r="G25" s="12">
        <f>E25/(1-$C$29)</f>
        <v>214.54465514568105</v>
      </c>
      <c r="H25" s="12">
        <f>G25</f>
        <v>214.54465514568105</v>
      </c>
      <c r="I25" s="12">
        <f>H25</f>
        <v>214.54465514568105</v>
      </c>
      <c r="J25" s="12">
        <f>I25</f>
        <v>214.54465514568105</v>
      </c>
      <c r="K25" s="12">
        <f>J25*D10</f>
        <v>0</v>
      </c>
      <c r="L25" s="12">
        <f>J25-K25</f>
        <v>214.54465514568105</v>
      </c>
      <c r="M25" s="12">
        <f>L25*$C$29</f>
        <v>211.37404447938104</v>
      </c>
      <c r="N25" s="12">
        <f>L25-M25</f>
        <v>3.1706106663000071</v>
      </c>
    </row>
    <row r="27" spans="2:14" x14ac:dyDescent="0.25">
      <c r="B27" s="2" t="s">
        <v>33</v>
      </c>
      <c r="C27" s="12">
        <f>K4</f>
        <v>823.15</v>
      </c>
      <c r="D27" s="12">
        <f>K5</f>
        <v>823.15</v>
      </c>
      <c r="E27" s="12">
        <f>K4</f>
        <v>823.15</v>
      </c>
      <c r="F27" s="12"/>
      <c r="G27" s="12">
        <f>K6</f>
        <v>518.15</v>
      </c>
      <c r="H27" s="12">
        <f>K7</f>
        <v>537.15</v>
      </c>
      <c r="I27" s="12"/>
      <c r="J27" s="12">
        <f>K8</f>
        <v>383.15</v>
      </c>
      <c r="K27" s="12">
        <f>K9</f>
        <v>313.14999999999998</v>
      </c>
      <c r="L27" s="12">
        <f>K9</f>
        <v>313.14999999999998</v>
      </c>
      <c r="M27" s="12">
        <f>K9</f>
        <v>313.14999999999998</v>
      </c>
      <c r="N27" s="12">
        <f>K9</f>
        <v>313.14999999999998</v>
      </c>
    </row>
    <row r="29" spans="2:14" x14ac:dyDescent="0.25">
      <c r="B29" s="14" t="s">
        <v>34</v>
      </c>
      <c r="C29" s="15">
        <v>0.98522167488093759</v>
      </c>
      <c r="E29" t="s">
        <v>35</v>
      </c>
      <c r="F29">
        <f>1-N19/(C19+D19)</f>
        <v>0.98000000000542487</v>
      </c>
      <c r="H29" t="s">
        <v>36</v>
      </c>
      <c r="I29">
        <f>F29-F13</f>
        <v>5.4248827652259024E-12</v>
      </c>
      <c r="J29" t="s">
        <v>37</v>
      </c>
      <c r="M29" s="18" t="s">
        <v>38</v>
      </c>
      <c r="N29" s="12">
        <f>-G23+F12*(G23+G20+G19)</f>
        <v>103.99557626284567</v>
      </c>
    </row>
    <row r="30" spans="2:14" x14ac:dyDescent="0.25">
      <c r="M30" s="18" t="s">
        <v>39</v>
      </c>
      <c r="N30" s="12">
        <f>N29-G19*C13</f>
        <v>-41.598230505138275</v>
      </c>
    </row>
  </sheetData>
  <mergeCells count="3">
    <mergeCell ref="A1:G1"/>
    <mergeCell ref="J3:L3"/>
    <mergeCell ref="B16:C1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Sina Ghanbari</cp:lastModifiedBy>
  <dcterms:created xsi:type="dcterms:W3CDTF">2021-10-26T08:11:55Z</dcterms:created>
  <dcterms:modified xsi:type="dcterms:W3CDTF">2024-05-19T17:55:03Z</dcterms:modified>
</cp:coreProperties>
</file>