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2_Ta\"/>
    </mc:Choice>
  </mc:AlternateContent>
  <xr:revisionPtr revIDLastSave="0" documentId="13_ncr:1_{1C25AB88-819B-4E58-99D1-857084EDD94E}" xr6:coauthVersionLast="47" xr6:coauthVersionMax="47" xr10:uidLastSave="{00000000-0000-0000-0000-000000000000}"/>
  <bookViews>
    <workbookView xWindow="-120" yWindow="-120" windowWidth="23280" windowHeight="14880" xr2:uid="{6ED2B133-F318-4949-B732-FDB747F148CD}"/>
  </bookViews>
  <sheets>
    <sheet name="Reactor 1" sheetId="1" r:id="rId1"/>
    <sheet name="Reactor 2" sheetId="2" r:id="rId2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37" i="1"/>
  <c r="B38" i="1"/>
  <c r="B39" i="1"/>
  <c r="B40" i="1"/>
  <c r="B41" i="1"/>
  <c r="C41" i="1" s="1"/>
  <c r="B42" i="1"/>
  <c r="C42" i="1" s="1"/>
  <c r="B43" i="1"/>
  <c r="C43" i="1" s="1"/>
  <c r="B37" i="1"/>
  <c r="C37" i="1" s="1"/>
  <c r="C39" i="1"/>
  <c r="O18" i="1"/>
  <c r="O19" i="1"/>
  <c r="O20" i="1"/>
  <c r="O21" i="1"/>
  <c r="O22" i="1"/>
  <c r="O23" i="1"/>
  <c r="O17" i="1"/>
  <c r="N18" i="1"/>
  <c r="N19" i="1"/>
  <c r="N20" i="1"/>
  <c r="N21" i="1"/>
  <c r="N22" i="1"/>
  <c r="N23" i="1"/>
  <c r="N17" i="1"/>
  <c r="K17" i="1"/>
  <c r="J28" i="1"/>
  <c r="J29" i="1"/>
  <c r="D43" i="2"/>
  <c r="B43" i="2"/>
  <c r="C43" i="2" s="1"/>
  <c r="D42" i="2"/>
  <c r="B42" i="2"/>
  <c r="C42" i="2" s="1"/>
  <c r="D41" i="2"/>
  <c r="B41" i="2"/>
  <c r="C41" i="2" s="1"/>
  <c r="D40" i="2"/>
  <c r="E40" i="2" s="1"/>
  <c r="B40" i="2"/>
  <c r="C40" i="2" s="1"/>
  <c r="D39" i="2"/>
  <c r="B39" i="2"/>
  <c r="C39" i="2" s="1"/>
  <c r="D38" i="2"/>
  <c r="B38" i="2"/>
  <c r="C38" i="2" s="1"/>
  <c r="D37" i="2"/>
  <c r="B37" i="2"/>
  <c r="C37" i="2" s="1"/>
  <c r="J29" i="2"/>
  <c r="J28" i="2"/>
  <c r="D24" i="2"/>
  <c r="C24" i="2"/>
  <c r="K23" i="2"/>
  <c r="B23" i="2"/>
  <c r="E23" i="2" s="1"/>
  <c r="K22" i="2"/>
  <c r="E22" i="2"/>
  <c r="B22" i="2"/>
  <c r="K21" i="2"/>
  <c r="B21" i="2"/>
  <c r="E21" i="2" s="1"/>
  <c r="K20" i="2"/>
  <c r="E20" i="2"/>
  <c r="B20" i="2"/>
  <c r="K19" i="2"/>
  <c r="B19" i="2"/>
  <c r="E19" i="2" s="1"/>
  <c r="K18" i="2"/>
  <c r="E18" i="2"/>
  <c r="B18" i="2"/>
  <c r="K17" i="2"/>
  <c r="B17" i="2"/>
  <c r="B24" i="2" s="1"/>
  <c r="O10" i="2"/>
  <c r="M22" i="2" s="1"/>
  <c r="O22" i="2" s="1"/>
  <c r="C38" i="1"/>
  <c r="C40" i="1"/>
  <c r="M17" i="1"/>
  <c r="O10" i="1"/>
  <c r="M19" i="1" s="1"/>
  <c r="K18" i="1"/>
  <c r="L18" i="1" s="1"/>
  <c r="K19" i="1"/>
  <c r="L19" i="1" s="1"/>
  <c r="K20" i="1"/>
  <c r="K21" i="1"/>
  <c r="K22" i="1"/>
  <c r="K23" i="1"/>
  <c r="D24" i="1"/>
  <c r="C24" i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17" i="1"/>
  <c r="E39" i="1" l="1"/>
  <c r="E38" i="1"/>
  <c r="P19" i="1"/>
  <c r="E43" i="1"/>
  <c r="E40" i="1"/>
  <c r="E42" i="1"/>
  <c r="E41" i="1"/>
  <c r="P17" i="1"/>
  <c r="E41" i="2"/>
  <c r="E42" i="2"/>
  <c r="E38" i="2"/>
  <c r="P22" i="2"/>
  <c r="E39" i="2"/>
  <c r="E43" i="2"/>
  <c r="L17" i="2"/>
  <c r="N17" i="2" s="1"/>
  <c r="L19" i="2"/>
  <c r="N19" i="2" s="1"/>
  <c r="L21" i="2"/>
  <c r="N21" i="2" s="1"/>
  <c r="Q21" i="2" s="1"/>
  <c r="L23" i="2"/>
  <c r="N23" i="2" s="1"/>
  <c r="Q23" i="2" s="1"/>
  <c r="M19" i="2"/>
  <c r="O19" i="2" s="1"/>
  <c r="L18" i="2"/>
  <c r="N18" i="2" s="1"/>
  <c r="L20" i="2"/>
  <c r="N20" i="2" s="1"/>
  <c r="Q20" i="2" s="1"/>
  <c r="L22" i="2"/>
  <c r="N22" i="2" s="1"/>
  <c r="Q22" i="2" s="1"/>
  <c r="S22" i="2" s="1"/>
  <c r="W22" i="2" s="1"/>
  <c r="M17" i="2"/>
  <c r="O17" i="2" s="1"/>
  <c r="M21" i="2"/>
  <c r="O21" i="2" s="1"/>
  <c r="M23" i="2"/>
  <c r="O23" i="2" s="1"/>
  <c r="E17" i="2"/>
  <c r="M18" i="2"/>
  <c r="O18" i="2" s="1"/>
  <c r="M20" i="2"/>
  <c r="O20" i="2" s="1"/>
  <c r="B24" i="1"/>
  <c r="M18" i="1"/>
  <c r="P18" i="1" s="1"/>
  <c r="L17" i="1"/>
  <c r="Q17" i="1" s="1"/>
  <c r="M22" i="1"/>
  <c r="L22" i="1"/>
  <c r="Q22" i="1" s="1"/>
  <c r="M21" i="1"/>
  <c r="E17" i="1"/>
  <c r="M23" i="1"/>
  <c r="P23" i="1" s="1"/>
  <c r="L23" i="1"/>
  <c r="L21" i="1"/>
  <c r="M20" i="1"/>
  <c r="P20" i="1" s="1"/>
  <c r="L20" i="1"/>
  <c r="R20" i="1" s="1"/>
  <c r="R19" i="1"/>
  <c r="Q19" i="1"/>
  <c r="S19" i="1" l="1"/>
  <c r="W19" i="1" s="1"/>
  <c r="S17" i="1"/>
  <c r="W17" i="1" s="1"/>
  <c r="E24" i="1"/>
  <c r="F23" i="1" s="1"/>
  <c r="G23" i="1" s="1"/>
  <c r="H23" i="1" s="1"/>
  <c r="E37" i="1"/>
  <c r="R27" i="1"/>
  <c r="R17" i="1"/>
  <c r="T17" i="1" s="1"/>
  <c r="P18" i="2"/>
  <c r="R18" i="2"/>
  <c r="R23" i="2"/>
  <c r="P23" i="2"/>
  <c r="T23" i="2" s="1"/>
  <c r="R21" i="2"/>
  <c r="P21" i="2"/>
  <c r="T21" i="2" s="1"/>
  <c r="P17" i="2"/>
  <c r="T17" i="2" s="1"/>
  <c r="R17" i="2"/>
  <c r="Q17" i="2"/>
  <c r="R19" i="2"/>
  <c r="P19" i="2"/>
  <c r="T19" i="2" s="1"/>
  <c r="E24" i="2"/>
  <c r="E37" i="2"/>
  <c r="I36" i="2" s="1"/>
  <c r="I37" i="2" s="1"/>
  <c r="R27" i="2"/>
  <c r="Q19" i="2"/>
  <c r="R22" i="2"/>
  <c r="T22" i="2" s="1"/>
  <c r="U22" i="2" s="1"/>
  <c r="P20" i="2"/>
  <c r="S20" i="2" s="1"/>
  <c r="W20" i="2" s="1"/>
  <c r="R20" i="2"/>
  <c r="Q18" i="2"/>
  <c r="S18" i="2" s="1"/>
  <c r="W18" i="2" s="1"/>
  <c r="R18" i="1"/>
  <c r="Q18" i="1"/>
  <c r="S18" i="1" s="1"/>
  <c r="W18" i="1" s="1"/>
  <c r="T19" i="1"/>
  <c r="Q21" i="1"/>
  <c r="Q23" i="1"/>
  <c r="S23" i="1" s="1"/>
  <c r="W23" i="1" s="1"/>
  <c r="R23" i="1"/>
  <c r="Q20" i="1"/>
  <c r="S20" i="1" s="1"/>
  <c r="W20" i="1" s="1"/>
  <c r="R21" i="1"/>
  <c r="P21" i="1"/>
  <c r="R22" i="1"/>
  <c r="P22" i="1"/>
  <c r="S22" i="1" s="1"/>
  <c r="W22" i="1" s="1"/>
  <c r="U19" i="1" l="1"/>
  <c r="V19" i="1" s="1"/>
  <c r="T23" i="1"/>
  <c r="U23" i="1" s="1"/>
  <c r="X23" i="1" s="1"/>
  <c r="AA23" i="1" s="1"/>
  <c r="U17" i="1"/>
  <c r="V17" i="1" s="1"/>
  <c r="I36" i="1"/>
  <c r="I37" i="1" s="1"/>
  <c r="L34" i="1"/>
  <c r="F17" i="1"/>
  <c r="G17" i="1" s="1"/>
  <c r="H17" i="1" s="1"/>
  <c r="F21" i="1"/>
  <c r="G21" i="1" s="1"/>
  <c r="H21" i="1" s="1"/>
  <c r="I23" i="1"/>
  <c r="F22" i="1"/>
  <c r="G22" i="1" s="1"/>
  <c r="I22" i="1" s="1"/>
  <c r="F20" i="1"/>
  <c r="G20" i="1" s="1"/>
  <c r="H20" i="1" s="1"/>
  <c r="F18" i="1"/>
  <c r="G18" i="1" s="1"/>
  <c r="H18" i="1" s="1"/>
  <c r="F19" i="1"/>
  <c r="G19" i="1" s="1"/>
  <c r="H19" i="1" s="1"/>
  <c r="X22" i="2"/>
  <c r="Z22" i="2" s="1"/>
  <c r="AA22" i="2"/>
  <c r="V22" i="2"/>
  <c r="S19" i="2"/>
  <c r="W19" i="2" s="1"/>
  <c r="S21" i="2"/>
  <c r="W21" i="2" s="1"/>
  <c r="S23" i="2"/>
  <c r="W23" i="2" s="1"/>
  <c r="U23" i="2"/>
  <c r="S17" i="2"/>
  <c r="W17" i="2" s="1"/>
  <c r="U17" i="2"/>
  <c r="F18" i="2"/>
  <c r="G18" i="2" s="1"/>
  <c r="F21" i="2"/>
  <c r="G21" i="2" s="1"/>
  <c r="F20" i="2"/>
  <c r="G20" i="2" s="1"/>
  <c r="F23" i="2"/>
  <c r="G23" i="2" s="1"/>
  <c r="F22" i="2"/>
  <c r="G22" i="2" s="1"/>
  <c r="F19" i="2"/>
  <c r="G19" i="2" s="1"/>
  <c r="T20" i="2"/>
  <c r="U20" i="2" s="1"/>
  <c r="F17" i="2"/>
  <c r="T18" i="2"/>
  <c r="U18" i="2" s="1"/>
  <c r="T20" i="1"/>
  <c r="U20" i="1" s="1"/>
  <c r="S21" i="1"/>
  <c r="W21" i="1" s="1"/>
  <c r="T18" i="1"/>
  <c r="U18" i="1" s="1"/>
  <c r="T21" i="1"/>
  <c r="T22" i="1"/>
  <c r="U22" i="1" s="1"/>
  <c r="X19" i="1" l="1"/>
  <c r="AA19" i="1" s="1"/>
  <c r="V23" i="1"/>
  <c r="X17" i="1"/>
  <c r="Y17" i="1" s="1"/>
  <c r="Y23" i="1"/>
  <c r="Z23" i="1"/>
  <c r="I20" i="1"/>
  <c r="I19" i="1"/>
  <c r="I21" i="1"/>
  <c r="I17" i="1"/>
  <c r="H22" i="1"/>
  <c r="H24" i="1" s="1"/>
  <c r="F24" i="1"/>
  <c r="G24" i="1"/>
  <c r="I18" i="1"/>
  <c r="U21" i="2"/>
  <c r="V20" i="2"/>
  <c r="X20" i="2"/>
  <c r="Z20" i="2" s="1"/>
  <c r="H20" i="2"/>
  <c r="I20" i="2"/>
  <c r="H21" i="2"/>
  <c r="I21" i="2"/>
  <c r="X18" i="2"/>
  <c r="Z18" i="2"/>
  <c r="V18" i="2"/>
  <c r="AA18" i="2"/>
  <c r="Y18" i="2"/>
  <c r="I18" i="2"/>
  <c r="H18" i="2"/>
  <c r="G17" i="2"/>
  <c r="F24" i="2"/>
  <c r="X17" i="2"/>
  <c r="Y17" i="2" s="1"/>
  <c r="V17" i="2"/>
  <c r="Z17" i="2"/>
  <c r="AA17" i="2"/>
  <c r="X23" i="2"/>
  <c r="Y23" i="2" s="1"/>
  <c r="V23" i="2"/>
  <c r="AA23" i="2"/>
  <c r="Z23" i="2"/>
  <c r="I22" i="2"/>
  <c r="H22" i="2"/>
  <c r="U19" i="2"/>
  <c r="Y22" i="2"/>
  <c r="AB22" i="2"/>
  <c r="AC22" i="2" s="1"/>
  <c r="AD22" i="2" s="1"/>
  <c r="H19" i="2"/>
  <c r="I19" i="2"/>
  <c r="H23" i="2"/>
  <c r="I23" i="2"/>
  <c r="X20" i="1"/>
  <c r="AA20" i="1" s="1"/>
  <c r="V20" i="1"/>
  <c r="X22" i="1"/>
  <c r="Z22" i="1" s="1"/>
  <c r="V22" i="1"/>
  <c r="Y18" i="1"/>
  <c r="Z18" i="1"/>
  <c r="AA18" i="1"/>
  <c r="V18" i="1"/>
  <c r="X18" i="1"/>
  <c r="U21" i="1"/>
  <c r="AB18" i="1" l="1"/>
  <c r="AC18" i="1" s="1"/>
  <c r="AD18" i="1" s="1"/>
  <c r="AF18" i="1" s="1"/>
  <c r="Y19" i="1"/>
  <c r="Z19" i="1"/>
  <c r="Y20" i="1"/>
  <c r="AB23" i="1"/>
  <c r="AC23" i="1" s="1"/>
  <c r="AD23" i="1" s="1"/>
  <c r="AE23" i="1" s="1"/>
  <c r="Z17" i="1"/>
  <c r="AA17" i="1"/>
  <c r="K29" i="1"/>
  <c r="K28" i="1"/>
  <c r="I24" i="1"/>
  <c r="Y20" i="2"/>
  <c r="AB20" i="2" s="1"/>
  <c r="AC20" i="2" s="1"/>
  <c r="AD20" i="2" s="1"/>
  <c r="X19" i="2"/>
  <c r="Y19" i="2" s="1"/>
  <c r="V19" i="2"/>
  <c r="Z19" i="2"/>
  <c r="AA19" i="2"/>
  <c r="AA20" i="2"/>
  <c r="AB23" i="2"/>
  <c r="AC23" i="2" s="1"/>
  <c r="AD23" i="2" s="1"/>
  <c r="AB17" i="2"/>
  <c r="AC17" i="2" s="1"/>
  <c r="AD17" i="2" s="1"/>
  <c r="AB18" i="2"/>
  <c r="AC18" i="2" s="1"/>
  <c r="AD18" i="2" s="1"/>
  <c r="AF22" i="2"/>
  <c r="AE22" i="2"/>
  <c r="H17" i="2"/>
  <c r="G24" i="2"/>
  <c r="I17" i="2"/>
  <c r="Y21" i="2"/>
  <c r="AA21" i="2"/>
  <c r="X21" i="2"/>
  <c r="V21" i="2"/>
  <c r="AB21" i="2" s="1"/>
  <c r="AC21" i="2" s="1"/>
  <c r="AD21" i="2" s="1"/>
  <c r="Z21" i="2"/>
  <c r="Y22" i="1"/>
  <c r="Z21" i="1"/>
  <c r="V21" i="1"/>
  <c r="AA21" i="1"/>
  <c r="Y21" i="1"/>
  <c r="X21" i="1"/>
  <c r="AA22" i="1"/>
  <c r="Z20" i="1"/>
  <c r="AB17" i="1" l="1"/>
  <c r="AC17" i="1" s="1"/>
  <c r="AD17" i="1" s="1"/>
  <c r="AF17" i="1" s="1"/>
  <c r="AB22" i="1"/>
  <c r="AC22" i="1" s="1"/>
  <c r="AD22" i="1" s="1"/>
  <c r="AF22" i="1" s="1"/>
  <c r="AE18" i="1"/>
  <c r="AB19" i="1"/>
  <c r="AC19" i="1" s="1"/>
  <c r="AD19" i="1" s="1"/>
  <c r="AE19" i="1" s="1"/>
  <c r="AB20" i="1"/>
  <c r="AC20" i="1" s="1"/>
  <c r="AD20" i="1" s="1"/>
  <c r="AE20" i="1" s="1"/>
  <c r="AF23" i="1"/>
  <c r="AB21" i="1"/>
  <c r="AC21" i="1" s="1"/>
  <c r="AD21" i="1" s="1"/>
  <c r="AE20" i="2"/>
  <c r="AF20" i="2"/>
  <c r="AF21" i="2"/>
  <c r="AE21" i="2"/>
  <c r="K29" i="2"/>
  <c r="I24" i="2"/>
  <c r="AF17" i="2"/>
  <c r="AE17" i="2"/>
  <c r="K28" i="2"/>
  <c r="H24" i="2"/>
  <c r="AB19" i="2"/>
  <c r="AC19" i="2" s="1"/>
  <c r="AD19" i="2" s="1"/>
  <c r="AF18" i="2"/>
  <c r="AE18" i="2"/>
  <c r="AF23" i="2"/>
  <c r="AE23" i="2"/>
  <c r="AE17" i="1" l="1"/>
  <c r="AE22" i="1"/>
  <c r="AF19" i="1"/>
  <c r="AF20" i="1"/>
  <c r="AF21" i="1"/>
  <c r="AE21" i="1"/>
  <c r="AF19" i="2"/>
  <c r="AH26" i="2" s="1"/>
  <c r="L29" i="2" s="1"/>
  <c r="L33" i="2" s="1"/>
  <c r="AE19" i="2"/>
  <c r="AH25" i="2" s="1"/>
  <c r="L28" i="2" s="1"/>
  <c r="L32" i="2" s="1"/>
  <c r="AH25" i="1" l="1"/>
  <c r="L28" i="1" s="1"/>
  <c r="L32" i="1" s="1"/>
  <c r="AH26" i="1"/>
  <c r="L29" i="1" s="1"/>
  <c r="L33" i="1" s="1"/>
</calcChain>
</file>

<file path=xl/sharedStrings.xml><?xml version="1.0" encoding="utf-8"?>
<sst xmlns="http://schemas.openxmlformats.org/spreadsheetml/2006/main" count="209" uniqueCount="95">
  <si>
    <t>K</t>
  </si>
  <si>
    <t>T3</t>
  </si>
  <si>
    <t>T2</t>
  </si>
  <si>
    <t>bar</t>
  </si>
  <si>
    <t>P</t>
  </si>
  <si>
    <t>T1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</si>
  <si>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</si>
  <si>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</si>
  <si>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</si>
  <si>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</si>
  <si>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</si>
  <si>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</si>
  <si>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CO</t>
  </si>
  <si>
    <t>ω [-]</t>
  </si>
  <si>
    <t>Pc [bar]</t>
  </si>
  <si>
    <t>Tc [K]</t>
  </si>
  <si>
    <r>
      <t>d x 10</t>
    </r>
    <r>
      <rPr>
        <b/>
        <vertAlign val="superscript"/>
        <sz val="11"/>
        <color theme="1"/>
        <rFont val="Calibri"/>
        <family val="2"/>
        <scheme val="minor"/>
      </rPr>
      <t>9</t>
    </r>
  </si>
  <si>
    <r>
      <t>c x 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</si>
  <si>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b x 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</si>
  <si>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a</t>
  </si>
  <si>
    <t>DH0F (298K)  [cal/mol]</t>
  </si>
  <si>
    <t>Molar fraction [-]</t>
  </si>
  <si>
    <t>Specie</t>
  </si>
  <si>
    <t>PROCESSES OF THE ORGANIC CHEMICAL INDUSTRY - TUTORIAL 2</t>
  </si>
  <si>
    <t>BOC</t>
  </si>
  <si>
    <t>mol/s</t>
  </si>
  <si>
    <t>SUM</t>
  </si>
  <si>
    <t>nu M</t>
  </si>
  <si>
    <t>nu R</t>
  </si>
  <si>
    <t>ni 2</t>
  </si>
  <si>
    <t>ni 1</t>
  </si>
  <si>
    <t>lambda M</t>
  </si>
  <si>
    <t>lambda R</t>
  </si>
  <si>
    <t>MeOH</t>
  </si>
  <si>
    <t>RWGS</t>
  </si>
  <si>
    <t>Keq</t>
  </si>
  <si>
    <t>Kp</t>
  </si>
  <si>
    <t>Kphi</t>
  </si>
  <si>
    <t>yi 2</t>
  </si>
  <si>
    <t>needs a first assumption</t>
  </si>
  <si>
    <t>Pi 2^ Num</t>
  </si>
  <si>
    <t>Pi 2 ^ Nu RWGS</t>
  </si>
  <si>
    <t>Pi 2 / pref</t>
  </si>
  <si>
    <t>= Keq - Kp*Kphi = 0</t>
  </si>
  <si>
    <t>Kp = product(Pi/Pref)^nu</t>
  </si>
  <si>
    <t>IM, IG</t>
  </si>
  <si>
    <t>k</t>
  </si>
  <si>
    <t>b</t>
  </si>
  <si>
    <t>A</t>
  </si>
  <si>
    <t>B</t>
  </si>
  <si>
    <t>R</t>
  </si>
  <si>
    <t>alpha</t>
  </si>
  <si>
    <t>beta</t>
  </si>
  <si>
    <t>gamma</t>
  </si>
  <si>
    <t>p</t>
  </si>
  <si>
    <t>q</t>
  </si>
  <si>
    <t>D</t>
  </si>
  <si>
    <t>D &gt; 0</t>
  </si>
  <si>
    <t>Z</t>
  </si>
  <si>
    <t>D &lt; 0</t>
  </si>
  <si>
    <t>Z1</t>
  </si>
  <si>
    <t>Z2</t>
  </si>
  <si>
    <t>Z3</t>
  </si>
  <si>
    <t>r</t>
  </si>
  <si>
    <t>Theta</t>
  </si>
  <si>
    <t>ln(phi)</t>
  </si>
  <si>
    <t>Phi</t>
  </si>
  <si>
    <t>Phi^nuM</t>
  </si>
  <si>
    <t>Phi^nuR</t>
  </si>
  <si>
    <t>K_Phi_M</t>
  </si>
  <si>
    <t>K_Phi_R</t>
  </si>
  <si>
    <t>Goal MeOh (Must be zero)</t>
  </si>
  <si>
    <t>Goal RWGS (Must be zero)</t>
  </si>
  <si>
    <t>CONV</t>
  </si>
  <si>
    <t>h1</t>
  </si>
  <si>
    <t>h2</t>
  </si>
  <si>
    <t>h3</t>
  </si>
  <si>
    <t>h4</t>
  </si>
  <si>
    <t>H1</t>
  </si>
  <si>
    <t>H2</t>
  </si>
  <si>
    <t>QR1</t>
  </si>
  <si>
    <t>cal/s</t>
  </si>
  <si>
    <t>cal/mol(1)</t>
  </si>
  <si>
    <t>ni 3</t>
  </si>
  <si>
    <t>ni 4</t>
  </si>
  <si>
    <t>yi 4</t>
  </si>
  <si>
    <t>Pi 4 / pref</t>
  </si>
  <si>
    <t>Pi 4^ Num</t>
  </si>
  <si>
    <t>Pi 4 ^ Nu RWGS</t>
  </si>
  <si>
    <t>CONV Cox</t>
  </si>
  <si>
    <t>T4</t>
  </si>
  <si>
    <t>H3</t>
  </si>
  <si>
    <t>H4</t>
  </si>
  <si>
    <t>QR2</t>
  </si>
  <si>
    <t>Heat Goal Reactor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</si>
</sst>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4" borderId="2" applyNumberFormat="0" applyAlignment="0" applyProtection="0"/>
    <xf numFmtId="0" fontId="8" fillId="5" borderId="3" applyNumberFormat="0" applyFont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8" borderId="2" applyNumberFormat="0" applyAlignment="0" applyProtection="0"/>
    <xf numFmtId="0" fontId="15" fillId="9" borderId="9" applyNumberFormat="0" applyAlignment="0" applyProtection="0"/>
  </cellStyleXfs>
  <cellXfs count="3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3" xfId="2" applyFont="1" applyAlignment="1">
      <alignment horizontal="center" vertical="center" wrapText="1"/>
    </xf>
    <xf numFmtId="0" fontId="0" fillId="5" borderId="3" xfId="2" applyFont="1" applyAlignment="1">
      <alignment horizontal="center"/>
    </xf>
    <xf numFmtId="0" fontId="9" fillId="4" borderId="4" xfId="1" applyBorder="1" applyAlignment="1">
      <alignment horizontal="center"/>
    </xf>
    <xf numFmtId="0" fontId="9" fillId="4" borderId="5" xfId="1" applyBorder="1" applyAlignment="1">
      <alignment horizontal="center"/>
    </xf>
    <xf numFmtId="0" fontId="9" fillId="4" borderId="7" xfId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7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4" fillId="8" borderId="2" xfId="6" applyAlignment="1">
      <alignment horizontal="center"/>
    </xf>
    <xf numFmtId="0" fontId="0" fillId="0" borderId="0" xfId="0" applyBorder="1" applyAlignment="1">
      <alignment horizontal="center"/>
    </xf>
    <xf numFmtId="0" fontId="15" fillId="9" borderId="9" xfId="7" applyAlignment="1">
      <alignment horizontal="center"/>
    </xf>
    <xf numFmtId="0" fontId="14" fillId="8" borderId="5" xfId="6" applyBorder="1" applyAlignment="1">
      <alignment horizontal="center"/>
    </xf>
    <xf numFmtId="0" fontId="14" fillId="8" borderId="10" xfId="6" applyBorder="1" applyAlignment="1">
      <alignment horizontal="center"/>
    </xf>
    <xf numFmtId="0" fontId="0" fillId="0" borderId="11" xfId="0" applyBorder="1" applyAlignment="1">
      <alignment horizontal="center"/>
    </xf>
    <xf numFmtId="0" fontId="14" fillId="8" borderId="1" xfId="6" applyBorder="1" applyAlignment="1">
      <alignment horizontal="center"/>
    </xf>
    <xf numFmtId="0" fontId="12" fillId="7" borderId="0" xfId="4"/>
    <xf numFmtId="0" fontId="11" fillId="6" borderId="0" xfId="3" applyAlignment="1">
      <alignment horizontal="center"/>
    </xf>
    <xf numFmtId="0" fontId="0" fillId="10" borderId="0" xfId="0" applyFill="1"/>
    <xf numFmtId="0" fontId="1" fillId="2" borderId="0" xfId="0" applyFont="1" applyFill="1" applyBorder="1" applyAlignment="1">
      <alignment horizontal="center" vertical="center" wrapText="1"/>
    </xf>
    <xf numFmtId="0" fontId="13" fillId="8" borderId="8" xfId="5" applyAlignment="1">
      <alignment horizontal="center"/>
    </xf>
    <xf numFmtId="0" fontId="16" fillId="8" borderId="8" xfId="5" applyFont="1" applyAlignment="1">
      <alignment horizontal="center"/>
    </xf>
  </cellXfs>
  <cellStyles count="8">
    <cellStyle name="Bad" xfId="4" builtinId="27"/>
    <cellStyle name="Calculation" xfId="6" builtinId="22"/>
    <cellStyle name="Check Cell" xfId="7" builtinId="23"/>
    <cellStyle name="Good" xfId="3" builtinId="26"/>
    <cellStyle name="Input" xfId="1" builtinId="20"/>
    <cellStyle name="Normal" xfId="0" builtinId="0"/>
    <cellStyle name="Note" xfId="2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84666</xdr:colOff>
      <xdr:row>3</xdr:row>
      <xdr:rowOff>42334</xdr:rowOff>
    </xdr:from>
    <xdr:to>
      <xdr:col>42</xdr:col>
      <xdr:colOff>578905</xdr:colOff>
      <xdr:row>22</xdr:row>
      <xdr:rowOff>11928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5B35-E3CB-46C7-A552-D050A6D5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67999" y="1068917"/>
          <a:ext cx="4791072" cy="4075928"/>
        </a:xfrm>
        <a:prstGeom prst="rect">
          <a:avLst/>
        </a:prstGeom>
      </xdr:spPr>
    </xdr:pic>
    <xdr:clientData/>
  </xdr:twoCellAnchor>
  <xdr:twoCellAnchor editAs="oneCell">
    <xdr:from>
      <xdr:col>41</xdr:col>
      <xdr:colOff>247802</xdr:colOff>
      <xdr:row>26</xdr:row>
      <xdr:rowOff>86556</xdr:rowOff>
    </xdr:from>
    <xdr:to>
      <xdr:col>47</xdr:col>
      <xdr:colOff>431955</xdr:colOff>
      <xdr:row>47</xdr:row>
      <xdr:rowOff>12269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70EC4A-1D0F-453E-BD72-1E565C327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135" y="6044973"/>
          <a:ext cx="3867153" cy="4180213"/>
        </a:xfrm>
        <a:prstGeom prst="rect">
          <a:avLst/>
        </a:prstGeom>
      </xdr:spPr>
    </xdr:pic>
    <xdr:clientData/>
  </xdr:twoCellAnchor>
  <xdr:twoCellAnchor editAs="oneCell">
    <xdr:from>
      <xdr:col>44</xdr:col>
      <xdr:colOff>554870</xdr:colOff>
      <xdr:row>3</xdr:row>
      <xdr:rowOff>149528</xdr:rowOff>
    </xdr:from>
    <xdr:to>
      <xdr:col>52</xdr:col>
      <xdr:colOff>149669</xdr:colOff>
      <xdr:row>23</xdr:row>
      <xdr:rowOff>28725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DD4B6-D330-4123-8997-5CA33E6CB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62703" y="1176111"/>
          <a:ext cx="4505466" cy="4218364"/>
        </a:xfrm>
        <a:prstGeom prst="rect">
          <a:avLst/>
        </a:prstGeom>
      </xdr:spPr>
    </xdr:pic>
    <xdr:clientData/>
  </xdr:twoCellAnchor>
  <xdr:twoCellAnchor editAs="oneCell">
    <xdr:from>
      <xdr:col>25</xdr:col>
      <xdr:colOff>441478</xdr:colOff>
      <xdr:row>29</xdr:row>
      <xdr:rowOff>102809</xdr:rowOff>
    </xdr:from>
    <xdr:to>
      <xdr:col>38</xdr:col>
      <xdr:colOff>586128</xdr:colOff>
      <xdr:row>35</xdr:row>
      <xdr:rowOff>156991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686A22-A3DC-4D2B-9CBD-BF1CAACD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86478" y="6632726"/>
          <a:ext cx="8124482" cy="1197182"/>
        </a:xfrm>
        <a:prstGeom prst="rect">
          <a:avLst/>
        </a:prstGeom>
      </xdr:spPr>
    </xdr:pic>
    <xdr:clientData/>
  </xdr:twoCellAnchor>
  <xdr:twoCellAnchor>
    <xdr:from>
      <xdr:col>4</xdr:col>
      <xdr:colOff>328084</xdr:colOff>
      <xdr:row>29</xdr:row>
      <xdr:rowOff>31750</xdr:rowOff>
    </xdr:from>
    <xdr:to>
      <xdr:col>6</xdr:col>
      <xdr:colOff>412750</xdr:colOff>
      <xdr:row>32</xdr:row>
      <xdr:rowOff>74083</xdr:rowOff>
    </xdr:to>
    <xdr:sp macro="[0]!R_1" textlink="">
      <xdr:nvSpPr>
        <xdr:cNvPr id="6" name="Rectangle 5">
          <a:extLst>
            <a:ext uri="{FF2B5EF4-FFF2-40B4-BE49-F238E27FC236}">
              <a16:creationId xmlns:a16="http://schemas.microsoft.com/office/drawing/2014/main" id="{9A461C30-0603-C37C-5792-E5CB133D7654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7" name="Rectangle 6">
          <a:extLst>
            <a:ext uri="{FF2B5EF4-FFF2-40B4-BE49-F238E27FC236}">
              <a16:creationId xmlns:a16="http://schemas.microsoft.com/office/drawing/2014/main" id="{6CB5C33A-25FA-51B5-DC51-9B4AD098594A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8" name="Rectangle 7">
          <a:extLst>
            <a:ext uri="{FF2B5EF4-FFF2-40B4-BE49-F238E27FC236}">
              <a16:creationId xmlns:a16="http://schemas.microsoft.com/office/drawing/2014/main" id="{98B80CF4-8D74-2468-1C84-BD77A40CE9D1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9" name="Rectangle 8">
          <a:extLst>
            <a:ext uri="{FF2B5EF4-FFF2-40B4-BE49-F238E27FC236}">
              <a16:creationId xmlns:a16="http://schemas.microsoft.com/office/drawing/2014/main" id="{35FD7EF5-A5C8-688B-053A-03A7CCAB26F0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0" name="Rectangle 9">
          <a:extLst>
            <a:ext uri="{FF2B5EF4-FFF2-40B4-BE49-F238E27FC236}">
              <a16:creationId xmlns:a16="http://schemas.microsoft.com/office/drawing/2014/main" id="{DF5CB39C-B696-69BD-EF52-77F91E89F2B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1" name="Rectangle 10">
          <a:extLst>
            <a:ext uri="{FF2B5EF4-FFF2-40B4-BE49-F238E27FC236}">
              <a16:creationId xmlns:a16="http://schemas.microsoft.com/office/drawing/2014/main" id="{7E59E9D4-2521-96C4-70FE-63644BDF898E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2" name="Rectangle 11">
          <a:extLst>
            <a:ext uri="{FF2B5EF4-FFF2-40B4-BE49-F238E27FC236}">
              <a16:creationId xmlns:a16="http://schemas.microsoft.com/office/drawing/2014/main" id="{695F6B6D-74A6-8BAF-CE2C-651322D402C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3" name="Rectangle 12">
          <a:extLst>
            <a:ext uri="{FF2B5EF4-FFF2-40B4-BE49-F238E27FC236}">
              <a16:creationId xmlns:a16="http://schemas.microsoft.com/office/drawing/2014/main" id="{384EE048-E1B7-C775-630A-E536A9992E8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4" name="Rectangle 13">
          <a:extLst>
            <a:ext uri="{FF2B5EF4-FFF2-40B4-BE49-F238E27FC236}">
              <a16:creationId xmlns:a16="http://schemas.microsoft.com/office/drawing/2014/main" id="{6F936CF5-5A85-BF3D-FDFF-1FCCCCD50F21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5" name="Rectangle 14">
          <a:extLst>
            <a:ext uri="{FF2B5EF4-FFF2-40B4-BE49-F238E27FC236}">
              <a16:creationId xmlns:a16="http://schemas.microsoft.com/office/drawing/2014/main" id="{9F4C9500-8D64-0C3A-F26E-753B1678904F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6" name="Rectangle 15">
          <a:extLst>
            <a:ext uri="{FF2B5EF4-FFF2-40B4-BE49-F238E27FC236}">
              <a16:creationId xmlns:a16="http://schemas.microsoft.com/office/drawing/2014/main" id="{81955898-6295-AC4A-5990-52219906771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7" name="Rectangle 16">
          <a:extLst>
            <a:ext uri="{FF2B5EF4-FFF2-40B4-BE49-F238E27FC236}">
              <a16:creationId xmlns:a16="http://schemas.microsoft.com/office/drawing/2014/main" id="{38266882-AE2F-76FF-1DF4-70C6C064CC6C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8" name="Rectangle 17">
          <a:extLst>
            <a:ext uri="{FF2B5EF4-FFF2-40B4-BE49-F238E27FC236}">
              <a16:creationId xmlns:a16="http://schemas.microsoft.com/office/drawing/2014/main" id="{D62CF045-DD81-5AB0-D494-93A509A69E91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9" name="Rectangle 18">
          <a:extLst>
            <a:ext uri="{FF2B5EF4-FFF2-40B4-BE49-F238E27FC236}">
              <a16:creationId xmlns:a16="http://schemas.microsoft.com/office/drawing/2014/main" id="{DAEB151E-4C67-4D38-8480-8574B1CE7265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0" name="Rectangle 19">
          <a:extLst>
            <a:ext uri="{FF2B5EF4-FFF2-40B4-BE49-F238E27FC236}">
              <a16:creationId xmlns:a16="http://schemas.microsoft.com/office/drawing/2014/main" id="{8C1C39F3-4C6D-0A01-A4C0-5EC81DA6B183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1" name="Rectangle 20">
          <a:extLst>
            <a:ext uri="{FF2B5EF4-FFF2-40B4-BE49-F238E27FC236}">
              <a16:creationId xmlns:a16="http://schemas.microsoft.com/office/drawing/2014/main" id="{961F1F77-4B58-AE94-94C4-06D031A0D974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2" name="Rectangle 21">
          <a:extLst>
            <a:ext uri="{FF2B5EF4-FFF2-40B4-BE49-F238E27FC236}">
              <a16:creationId xmlns:a16="http://schemas.microsoft.com/office/drawing/2014/main" id="{0876F466-3A24-3A5E-6B62-2E880B9F3A5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3" name="Rectangle 22">
          <a:extLst>
            <a:ext uri="{FF2B5EF4-FFF2-40B4-BE49-F238E27FC236}">
              <a16:creationId xmlns:a16="http://schemas.microsoft.com/office/drawing/2014/main" id="{94AC3555-D0E1-C88F-FE51-414CD436D96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4" name="Rectangle 23">
          <a:extLst>
            <a:ext uri="{FF2B5EF4-FFF2-40B4-BE49-F238E27FC236}">
              <a16:creationId xmlns:a16="http://schemas.microsoft.com/office/drawing/2014/main" id="{862D6335-382E-A02B-CA27-64DFC78CE149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5" name="Rectangle 24">
          <a:extLst>
            <a:ext uri="{FF2B5EF4-FFF2-40B4-BE49-F238E27FC236}">
              <a16:creationId xmlns:a16="http://schemas.microsoft.com/office/drawing/2014/main" id="{578810A1-3C63-7F64-4116-6F6E2E318AB1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6" name="Rectangle 25">
          <a:extLst>
            <a:ext uri="{FF2B5EF4-FFF2-40B4-BE49-F238E27FC236}">
              <a16:creationId xmlns:a16="http://schemas.microsoft.com/office/drawing/2014/main" id="{A76088CC-549F-88C9-8B45-1427EFD9CD47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7" name="Rectangle 26">
          <a:extLst>
            <a:ext uri="{FF2B5EF4-FFF2-40B4-BE49-F238E27FC236}">
              <a16:creationId xmlns:a16="http://schemas.microsoft.com/office/drawing/2014/main" id="{5204FDC1-3724-08D3-8A68-44678C55ABB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8" name="Rectangle 27">
          <a:extLst>
            <a:ext uri="{FF2B5EF4-FFF2-40B4-BE49-F238E27FC236}">
              <a16:creationId xmlns:a16="http://schemas.microsoft.com/office/drawing/2014/main" id="{7492D7FE-A8FD-DA74-4310-91D021AA46B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9" name="Rectangle 28">
          <a:extLst>
            <a:ext uri="{FF2B5EF4-FFF2-40B4-BE49-F238E27FC236}">
              <a16:creationId xmlns:a16="http://schemas.microsoft.com/office/drawing/2014/main" id="{C18FE7D3-62C1-47D3-7D3F-9C6D5FE9CB29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0" name="Rectangle 29">
          <a:extLst>
            <a:ext uri="{FF2B5EF4-FFF2-40B4-BE49-F238E27FC236}">
              <a16:creationId xmlns:a16="http://schemas.microsoft.com/office/drawing/2014/main" id="{7D84484A-89C9-58FB-1646-D2CA9D4B911C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1" name="Rectangle 30">
          <a:extLst>
            <a:ext uri="{FF2B5EF4-FFF2-40B4-BE49-F238E27FC236}">
              <a16:creationId xmlns:a16="http://schemas.microsoft.com/office/drawing/2014/main" id="{BA2937C7-0112-C07D-9F78-065AFC88BED3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2" name="Rectangle 31">
          <a:extLst>
            <a:ext uri="{FF2B5EF4-FFF2-40B4-BE49-F238E27FC236}">
              <a16:creationId xmlns:a16="http://schemas.microsoft.com/office/drawing/2014/main" id="{C184B697-C54B-BEBD-7331-E7D471AA597C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3" name="Rectangle 32">
          <a:extLst>
            <a:ext uri="{FF2B5EF4-FFF2-40B4-BE49-F238E27FC236}">
              <a16:creationId xmlns:a16="http://schemas.microsoft.com/office/drawing/2014/main" id="{9FAD67EA-7DFB-95B3-F271-B75017D2A3DF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4" name="Rectangle 33">
          <a:extLst>
            <a:ext uri="{FF2B5EF4-FFF2-40B4-BE49-F238E27FC236}">
              <a16:creationId xmlns:a16="http://schemas.microsoft.com/office/drawing/2014/main" id="{4A55DB73-48CE-0BBD-F360-B3CAAC6B859F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5" name="Rectangle 34">
          <a:extLst>
            <a:ext uri="{FF2B5EF4-FFF2-40B4-BE49-F238E27FC236}">
              <a16:creationId xmlns:a16="http://schemas.microsoft.com/office/drawing/2014/main" id="{3461CCB5-3B97-723A-D929-CE42C2D591F8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6" name="Rectangle 35">
          <a:extLst>
            <a:ext uri="{FF2B5EF4-FFF2-40B4-BE49-F238E27FC236}">
              <a16:creationId xmlns:a16="http://schemas.microsoft.com/office/drawing/2014/main" id="{F7A4D2E7-7F32-80E2-8858-E0E8A08C26F9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7" name="Rectangle 36">
          <a:extLst>
            <a:ext uri="{FF2B5EF4-FFF2-40B4-BE49-F238E27FC236}">
              <a16:creationId xmlns:a16="http://schemas.microsoft.com/office/drawing/2014/main" id="{913C55B6-76A4-A84D-7748-AADEC745EB9A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8" name="Rectangle 37">
          <a:extLst>
            <a:ext uri="{FF2B5EF4-FFF2-40B4-BE49-F238E27FC236}">
              <a16:creationId xmlns:a16="http://schemas.microsoft.com/office/drawing/2014/main" id="{D2D0B6B2-2D1C-14EA-EC2A-613658A02A65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9" name="Rectangle 38">
          <a:extLst>
            <a:ext uri="{FF2B5EF4-FFF2-40B4-BE49-F238E27FC236}">
              <a16:creationId xmlns:a16="http://schemas.microsoft.com/office/drawing/2014/main" id="{044CFD44-BBCC-9803-F3B5-A6CDBF8C40E6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0" name="Rectangle 39">
          <a:extLst>
            <a:ext uri="{FF2B5EF4-FFF2-40B4-BE49-F238E27FC236}">
              <a16:creationId xmlns:a16="http://schemas.microsoft.com/office/drawing/2014/main" id="{17421C79-4E82-E6AE-284F-99F26B5C22E4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1" name="Rectangle 40">
          <a:extLst>
            <a:ext uri="{FF2B5EF4-FFF2-40B4-BE49-F238E27FC236}">
              <a16:creationId xmlns:a16="http://schemas.microsoft.com/office/drawing/2014/main" id="{56492872-BC7B-7758-403E-BBA2216E4F64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2" name="Rectangle 41">
          <a:extLst>
            <a:ext uri="{FF2B5EF4-FFF2-40B4-BE49-F238E27FC236}">
              <a16:creationId xmlns:a16="http://schemas.microsoft.com/office/drawing/2014/main" id="{9A55BFE3-ED2E-AE9C-1CB8-AD9323906647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3" name="Rectangle 42">
          <a:extLst>
            <a:ext uri="{FF2B5EF4-FFF2-40B4-BE49-F238E27FC236}">
              <a16:creationId xmlns:a16="http://schemas.microsoft.com/office/drawing/2014/main" id="{1A50B85F-2AAB-F3D8-A4FE-BBE6E631BE01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4" name="Rectangle 43">
          <a:extLst>
            <a:ext uri="{FF2B5EF4-FFF2-40B4-BE49-F238E27FC236}">
              <a16:creationId xmlns:a16="http://schemas.microsoft.com/office/drawing/2014/main" id="{B8088B6F-BB9C-3B34-C1FB-E0B926F482F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5" name="Rectangle 44">
          <a:extLst>
            <a:ext uri="{FF2B5EF4-FFF2-40B4-BE49-F238E27FC236}">
              <a16:creationId xmlns:a16="http://schemas.microsoft.com/office/drawing/2014/main" id="{8393E4D2-E9AF-5A52-57E8-1B318EAC2E8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6" name="Rectangle 45">
          <a:extLst>
            <a:ext uri="{FF2B5EF4-FFF2-40B4-BE49-F238E27FC236}">
              <a16:creationId xmlns:a16="http://schemas.microsoft.com/office/drawing/2014/main" id="{191BE499-F65D-1C2B-72C9-0D944AE5A94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7" name="Rectangle 46">
          <a:extLst>
            <a:ext uri="{FF2B5EF4-FFF2-40B4-BE49-F238E27FC236}">
              <a16:creationId xmlns:a16="http://schemas.microsoft.com/office/drawing/2014/main" id="{1EF122C8-AB2A-D453-D88E-D0E169B762BC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8" name="Rectangle 47">
          <a:extLst>
            <a:ext uri="{FF2B5EF4-FFF2-40B4-BE49-F238E27FC236}">
              <a16:creationId xmlns:a16="http://schemas.microsoft.com/office/drawing/2014/main" id="{7539F78C-A3B7-D4D3-5352-CB8A4948E73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9" name="Rectangle 48">
          <a:extLst>
            <a:ext uri="{FF2B5EF4-FFF2-40B4-BE49-F238E27FC236}">
              <a16:creationId xmlns:a16="http://schemas.microsoft.com/office/drawing/2014/main" id="{6B397F6B-0308-55A8-604D-B5084B5C809A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0" name="Rectangle 49">
          <a:extLst>
            <a:ext uri="{FF2B5EF4-FFF2-40B4-BE49-F238E27FC236}">
              <a16:creationId xmlns:a16="http://schemas.microsoft.com/office/drawing/2014/main" id="{E9C5E91F-23D5-21FE-DC9A-8BF68E1633E4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1" name="Rectangle 50">
          <a:extLst>
            <a:ext uri="{FF2B5EF4-FFF2-40B4-BE49-F238E27FC236}">
              <a16:creationId xmlns:a16="http://schemas.microsoft.com/office/drawing/2014/main" id="{F5123EA0-CF10-5F20-50D3-54107CD5D900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2" name="Rectangle 51">
          <a:extLst>
            <a:ext uri="{FF2B5EF4-FFF2-40B4-BE49-F238E27FC236}">
              <a16:creationId xmlns:a16="http://schemas.microsoft.com/office/drawing/2014/main" id="{ECBCEAF2-18A2-A44C-AE38-A1B7CCF05B05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3" name="Rectangle 52">
          <a:extLst>
            <a:ext uri="{FF2B5EF4-FFF2-40B4-BE49-F238E27FC236}">
              <a16:creationId xmlns:a16="http://schemas.microsoft.com/office/drawing/2014/main" id="{10807FF6-8148-8978-F6DC-49808D18E70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84666</xdr:colOff>
      <xdr:row>3</xdr:row>
      <xdr:rowOff>42334</xdr:rowOff>
    </xdr:from>
    <xdr:to>
      <xdr:col>42</xdr:col>
      <xdr:colOff>578905</xdr:colOff>
      <xdr:row>22</xdr:row>
      <xdr:rowOff>11928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82295-0011-49CB-8D69-940AB0F13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0416" y="1071034"/>
          <a:ext cx="4761438" cy="4036769"/>
        </a:xfrm>
        <a:prstGeom prst="rect">
          <a:avLst/>
        </a:prstGeom>
      </xdr:spPr>
    </xdr:pic>
    <xdr:clientData/>
  </xdr:twoCellAnchor>
  <xdr:twoCellAnchor editAs="oneCell">
    <xdr:from>
      <xdr:col>41</xdr:col>
      <xdr:colOff>247802</xdr:colOff>
      <xdr:row>26</xdr:row>
      <xdr:rowOff>86556</xdr:rowOff>
    </xdr:from>
    <xdr:to>
      <xdr:col>47</xdr:col>
      <xdr:colOff>431955</xdr:colOff>
      <xdr:row>47</xdr:row>
      <xdr:rowOff>12269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E876B-0989-4B40-AF1C-DAA346FA8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152" y="6001581"/>
          <a:ext cx="3841753" cy="4154813"/>
        </a:xfrm>
        <a:prstGeom prst="rect">
          <a:avLst/>
        </a:prstGeom>
      </xdr:spPr>
    </xdr:pic>
    <xdr:clientData/>
  </xdr:twoCellAnchor>
  <xdr:twoCellAnchor editAs="oneCell">
    <xdr:from>
      <xdr:col>44</xdr:col>
      <xdr:colOff>554870</xdr:colOff>
      <xdr:row>3</xdr:row>
      <xdr:rowOff>149528</xdr:rowOff>
    </xdr:from>
    <xdr:to>
      <xdr:col>52</xdr:col>
      <xdr:colOff>149670</xdr:colOff>
      <xdr:row>23</xdr:row>
      <xdr:rowOff>28725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5EF17-88FD-4D33-BBFB-DF35562C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87020" y="1178228"/>
          <a:ext cx="4471599" cy="4174972"/>
        </a:xfrm>
        <a:prstGeom prst="rect">
          <a:avLst/>
        </a:prstGeom>
      </xdr:spPr>
    </xdr:pic>
    <xdr:clientData/>
  </xdr:twoCellAnchor>
  <xdr:twoCellAnchor editAs="oneCell">
    <xdr:from>
      <xdr:col>25</xdr:col>
      <xdr:colOff>441478</xdr:colOff>
      <xdr:row>29</xdr:row>
      <xdr:rowOff>102809</xdr:rowOff>
    </xdr:from>
    <xdr:to>
      <xdr:col>38</xdr:col>
      <xdr:colOff>586126</xdr:colOff>
      <xdr:row>35</xdr:row>
      <xdr:rowOff>156991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EC8869-08E7-4D04-832C-26C604D31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91228" y="6589334"/>
          <a:ext cx="8069449" cy="1197182"/>
        </a:xfrm>
        <a:prstGeom prst="rect">
          <a:avLst/>
        </a:prstGeom>
      </xdr:spPr>
    </xdr:pic>
    <xdr:clientData/>
  </xdr:twoCellAnchor>
  <xdr:twoCellAnchor>
    <xdr:from>
      <xdr:col>4</xdr:col>
      <xdr:colOff>328084</xdr:colOff>
      <xdr:row>29</xdr:row>
      <xdr:rowOff>31750</xdr:rowOff>
    </xdr:from>
    <xdr:to>
      <xdr:col>6</xdr:col>
      <xdr:colOff>412750</xdr:colOff>
      <xdr:row>32</xdr:row>
      <xdr:rowOff>74083</xdr:rowOff>
    </xdr:to>
    <xdr:sp macro="[0]!R_1" textlink="">
      <xdr:nvSpPr>
        <xdr:cNvPr id="6" name="Rectangle 5">
          <a:extLst>
            <a:ext uri="{FF2B5EF4-FFF2-40B4-BE49-F238E27FC236}">
              <a16:creationId xmlns:a16="http://schemas.microsoft.com/office/drawing/2014/main" id="{B94C6D9C-051F-42A3-A1A2-BA6B1E6CA83B}"/>
            </a:ext>
          </a:extLst>
        </xdr:cNvPr>
        <xdr:cNvSpPr/>
      </xdr:nvSpPr>
      <xdr:spPr>
        <a:xfrm>
          <a:off x="2956984" y="6518275"/>
          <a:ext cx="1303866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7" name="Rectangle 6">
          <a:extLst>
            <a:ext uri="{FF2B5EF4-FFF2-40B4-BE49-F238E27FC236}">
              <a16:creationId xmlns:a16="http://schemas.microsoft.com/office/drawing/2014/main" id="{FB3BC926-F24E-4527-A8B4-14108FFC0A61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8" name="Rectangle 7">
          <a:extLst>
            <a:ext uri="{FF2B5EF4-FFF2-40B4-BE49-F238E27FC236}">
              <a16:creationId xmlns:a16="http://schemas.microsoft.com/office/drawing/2014/main" id="{1CF82EEC-7FF1-4A6E-BD4D-060E6F0DE4E1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9" name="Rectangle 8">
          <a:extLst>
            <a:ext uri="{FF2B5EF4-FFF2-40B4-BE49-F238E27FC236}">
              <a16:creationId xmlns:a16="http://schemas.microsoft.com/office/drawing/2014/main" id="{9102DEF1-2C37-4C50-AF50-A705FA7C9F29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0" name="Rectangle 9">
          <a:extLst>
            <a:ext uri="{FF2B5EF4-FFF2-40B4-BE49-F238E27FC236}">
              <a16:creationId xmlns:a16="http://schemas.microsoft.com/office/drawing/2014/main" id="{5E5E5722-B3CB-433D-964E-BD2D0F4F3318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1" name="Rectangle 10">
          <a:extLst>
            <a:ext uri="{FF2B5EF4-FFF2-40B4-BE49-F238E27FC236}">
              <a16:creationId xmlns:a16="http://schemas.microsoft.com/office/drawing/2014/main" id="{D9C223D9-3BFB-4E8E-BF06-A4B76C183139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2" name="Rectangle 11">
          <a:extLst>
            <a:ext uri="{FF2B5EF4-FFF2-40B4-BE49-F238E27FC236}">
              <a16:creationId xmlns:a16="http://schemas.microsoft.com/office/drawing/2014/main" id="{CDA30209-3BB2-4A7E-A928-FCB9CD84A3ED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3" name="Rectangle 12">
          <a:extLst>
            <a:ext uri="{FF2B5EF4-FFF2-40B4-BE49-F238E27FC236}">
              <a16:creationId xmlns:a16="http://schemas.microsoft.com/office/drawing/2014/main" id="{32FB6DC9-4087-4435-BEB7-8A3E8E72AB98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4" name="Rectangle 13">
          <a:extLst>
            <a:ext uri="{FF2B5EF4-FFF2-40B4-BE49-F238E27FC236}">
              <a16:creationId xmlns:a16="http://schemas.microsoft.com/office/drawing/2014/main" id="{50888B80-0284-443B-A3A5-5DDEA4EEA35A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5" name="Rectangle 14">
          <a:extLst>
            <a:ext uri="{FF2B5EF4-FFF2-40B4-BE49-F238E27FC236}">
              <a16:creationId xmlns:a16="http://schemas.microsoft.com/office/drawing/2014/main" id="{C2CE5DC8-B6F7-4358-9237-6D4A691BC7E5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6" name="Rectangle 15">
          <a:extLst>
            <a:ext uri="{FF2B5EF4-FFF2-40B4-BE49-F238E27FC236}">
              <a16:creationId xmlns:a16="http://schemas.microsoft.com/office/drawing/2014/main" id="{A4CCC021-ACEC-499F-910B-59A617590507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7" name="Rectangle 16">
          <a:extLst>
            <a:ext uri="{FF2B5EF4-FFF2-40B4-BE49-F238E27FC236}">
              <a16:creationId xmlns:a16="http://schemas.microsoft.com/office/drawing/2014/main" id="{3406672A-13F9-4325-B47E-196B887FA507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8" name="Rectangle 17">
          <a:extLst>
            <a:ext uri="{FF2B5EF4-FFF2-40B4-BE49-F238E27FC236}">
              <a16:creationId xmlns:a16="http://schemas.microsoft.com/office/drawing/2014/main" id="{2B2A1F2B-7516-4DA1-8CCE-9205419A4563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19" name="Rectangle 18">
          <a:extLst>
            <a:ext uri="{FF2B5EF4-FFF2-40B4-BE49-F238E27FC236}">
              <a16:creationId xmlns:a16="http://schemas.microsoft.com/office/drawing/2014/main" id="{895EB900-8369-446F-BFC9-ED9D82595F36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0" name="Rectangle 19">
          <a:extLst>
            <a:ext uri="{FF2B5EF4-FFF2-40B4-BE49-F238E27FC236}">
              <a16:creationId xmlns:a16="http://schemas.microsoft.com/office/drawing/2014/main" id="{015A3063-7E0F-4FCD-B0C8-42C502A78D2F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1" name="Rectangle 20">
          <a:extLst>
            <a:ext uri="{FF2B5EF4-FFF2-40B4-BE49-F238E27FC236}">
              <a16:creationId xmlns:a16="http://schemas.microsoft.com/office/drawing/2014/main" id="{FD22D29F-EE9A-4648-8A48-AA68F6E324AD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2" name="Rectangle 21">
          <a:extLst>
            <a:ext uri="{FF2B5EF4-FFF2-40B4-BE49-F238E27FC236}">
              <a16:creationId xmlns:a16="http://schemas.microsoft.com/office/drawing/2014/main" id="{7FF05E5D-8978-4A37-B15A-3AB88A4F64C7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3" name="Rectangle 22">
          <a:extLst>
            <a:ext uri="{FF2B5EF4-FFF2-40B4-BE49-F238E27FC236}">
              <a16:creationId xmlns:a16="http://schemas.microsoft.com/office/drawing/2014/main" id="{79278C37-626F-4B3E-A044-7F453C4AF7E0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4" name="Rectangle 23">
          <a:extLst>
            <a:ext uri="{FF2B5EF4-FFF2-40B4-BE49-F238E27FC236}">
              <a16:creationId xmlns:a16="http://schemas.microsoft.com/office/drawing/2014/main" id="{DC3F479B-EA52-4D18-815A-C816505665F0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5" name="Rectangle 24">
          <a:extLst>
            <a:ext uri="{FF2B5EF4-FFF2-40B4-BE49-F238E27FC236}">
              <a16:creationId xmlns:a16="http://schemas.microsoft.com/office/drawing/2014/main" id="{9859894E-7DC2-41AE-B18A-C745F9141761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6" name="Rectangle 25">
          <a:extLst>
            <a:ext uri="{FF2B5EF4-FFF2-40B4-BE49-F238E27FC236}">
              <a16:creationId xmlns:a16="http://schemas.microsoft.com/office/drawing/2014/main" id="{CCE54E9A-F3B6-4867-8D59-F73D75D77747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7" name="Rectangle 26">
          <a:extLst>
            <a:ext uri="{FF2B5EF4-FFF2-40B4-BE49-F238E27FC236}">
              <a16:creationId xmlns:a16="http://schemas.microsoft.com/office/drawing/2014/main" id="{B5EBEBF2-3683-41A5-AC88-B400E42A3B7E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8" name="Rectangle 27">
          <a:extLst>
            <a:ext uri="{FF2B5EF4-FFF2-40B4-BE49-F238E27FC236}">
              <a16:creationId xmlns:a16="http://schemas.microsoft.com/office/drawing/2014/main" id="{667A45CD-1BD4-444B-8D57-2A9A932E6F42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29" name="Rectangle 28">
          <a:extLst>
            <a:ext uri="{FF2B5EF4-FFF2-40B4-BE49-F238E27FC236}">
              <a16:creationId xmlns:a16="http://schemas.microsoft.com/office/drawing/2014/main" id="{DD838EEA-435E-40B0-900A-3B14F8220C16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0" name="Rectangle 29">
          <a:extLst>
            <a:ext uri="{FF2B5EF4-FFF2-40B4-BE49-F238E27FC236}">
              <a16:creationId xmlns:a16="http://schemas.microsoft.com/office/drawing/2014/main" id="{52FBEFAB-385E-4FFB-BAEB-C21BC7EBD9BD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1" name="Rectangle 30">
          <a:extLst>
            <a:ext uri="{FF2B5EF4-FFF2-40B4-BE49-F238E27FC236}">
              <a16:creationId xmlns:a16="http://schemas.microsoft.com/office/drawing/2014/main" id="{41568358-415E-4368-954B-FADA4403EC73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2" name="Rectangle 31">
          <a:extLst>
            <a:ext uri="{FF2B5EF4-FFF2-40B4-BE49-F238E27FC236}">
              <a16:creationId xmlns:a16="http://schemas.microsoft.com/office/drawing/2014/main" id="{1E8D12E7-0B33-48F3-9F95-3686B0CA3D4A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3" name="Rectangle 32">
          <a:extLst>
            <a:ext uri="{FF2B5EF4-FFF2-40B4-BE49-F238E27FC236}">
              <a16:creationId xmlns:a16="http://schemas.microsoft.com/office/drawing/2014/main" id="{4565064F-5416-4DB0-A7E5-2FAC72BDBE49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81492</xdr:rowOff>
    </xdr:from>
    <xdr:to>
      <xdr:col>6</xdr:col>
      <xdr:colOff>438150</xdr:colOff>
      <xdr:row>32</xdr:row>
      <xdr:rowOff>123825</xdr:rowOff>
    </xdr:to>
    <xdr:sp macro="R_1" textlink="">
      <xdr:nvSpPr>
        <xdr:cNvPr id="34" name="Rectangle 33">
          <a:extLst>
            <a:ext uri="{FF2B5EF4-FFF2-40B4-BE49-F238E27FC236}">
              <a16:creationId xmlns:a16="http://schemas.microsoft.com/office/drawing/2014/main" id="{26FE7E46-01D9-4673-AB1C-BA3C7E41BBAE}"/>
            </a:ext>
          </a:extLst>
        </xdr:cNvPr>
        <xdr:cNvSpPr/>
      </xdr:nvSpPr>
      <xdr:spPr>
        <a:xfrm>
          <a:off x="2973917" y="65680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5" name="Rectangle 34">
          <a:extLst>
            <a:ext uri="{FF2B5EF4-FFF2-40B4-BE49-F238E27FC236}">
              <a16:creationId xmlns:a16="http://schemas.microsoft.com/office/drawing/2014/main" id="{34F0B2DA-9F58-4D00-B572-D48506E13035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6" name="Rectangle 35">
          <a:extLst>
            <a:ext uri="{FF2B5EF4-FFF2-40B4-BE49-F238E27FC236}">
              <a16:creationId xmlns:a16="http://schemas.microsoft.com/office/drawing/2014/main" id="{7BF7F57E-79FE-4356-8B57-1FDB1CEE33C3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7" name="Rectangle 36">
          <a:extLst>
            <a:ext uri="{FF2B5EF4-FFF2-40B4-BE49-F238E27FC236}">
              <a16:creationId xmlns:a16="http://schemas.microsoft.com/office/drawing/2014/main" id="{9AC4D4E1-DE2F-4604-B016-DE607A52470C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8" name="Rectangle 37">
          <a:extLst>
            <a:ext uri="{FF2B5EF4-FFF2-40B4-BE49-F238E27FC236}">
              <a16:creationId xmlns:a16="http://schemas.microsoft.com/office/drawing/2014/main" id="{61382A9C-1D94-4F1A-A820-38FF0817C06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39" name="Rectangle 38">
          <a:extLst>
            <a:ext uri="{FF2B5EF4-FFF2-40B4-BE49-F238E27FC236}">
              <a16:creationId xmlns:a16="http://schemas.microsoft.com/office/drawing/2014/main" id="{76FF553D-3C74-43CB-8C44-8E3F718A366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0" name="Rectangle 39">
          <a:extLst>
            <a:ext uri="{FF2B5EF4-FFF2-40B4-BE49-F238E27FC236}">
              <a16:creationId xmlns:a16="http://schemas.microsoft.com/office/drawing/2014/main" id="{783DC0F9-3580-4D28-922E-5FA893902D77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1" name="Rectangle 40">
          <a:extLst>
            <a:ext uri="{FF2B5EF4-FFF2-40B4-BE49-F238E27FC236}">
              <a16:creationId xmlns:a16="http://schemas.microsoft.com/office/drawing/2014/main" id="{3B0DF29F-23B5-4B93-BEC4-3A77231D8426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2" name="Rectangle 41">
          <a:extLst>
            <a:ext uri="{FF2B5EF4-FFF2-40B4-BE49-F238E27FC236}">
              <a16:creationId xmlns:a16="http://schemas.microsoft.com/office/drawing/2014/main" id="{1D96A6EC-8CB9-4C07-B4B4-A82A3CCAC7D7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3" name="Rectangle 42">
          <a:extLst>
            <a:ext uri="{FF2B5EF4-FFF2-40B4-BE49-F238E27FC236}">
              <a16:creationId xmlns:a16="http://schemas.microsoft.com/office/drawing/2014/main" id="{3E67E932-FC48-4CAF-BA9A-81CBDC3CC23A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4" name="Rectangle 43">
          <a:extLst>
            <a:ext uri="{FF2B5EF4-FFF2-40B4-BE49-F238E27FC236}">
              <a16:creationId xmlns:a16="http://schemas.microsoft.com/office/drawing/2014/main" id="{2E68C976-6169-4311-BD44-B8F05BD783AF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5" name="Rectangle 44">
          <a:extLst>
            <a:ext uri="{FF2B5EF4-FFF2-40B4-BE49-F238E27FC236}">
              <a16:creationId xmlns:a16="http://schemas.microsoft.com/office/drawing/2014/main" id="{C30768F7-BBE3-4310-8A17-F7A08AAF6D7E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6" name="Rectangle 45">
          <a:extLst>
            <a:ext uri="{FF2B5EF4-FFF2-40B4-BE49-F238E27FC236}">
              <a16:creationId xmlns:a16="http://schemas.microsoft.com/office/drawing/2014/main" id="{43CDAEEF-2F59-47B8-8376-727FE1C0F280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7" name="Rectangle 46">
          <a:extLst>
            <a:ext uri="{FF2B5EF4-FFF2-40B4-BE49-F238E27FC236}">
              <a16:creationId xmlns:a16="http://schemas.microsoft.com/office/drawing/2014/main" id="{5E73A029-F230-4C46-8113-7867F001D4D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8" name="Rectangle 47">
          <a:extLst>
            <a:ext uri="{FF2B5EF4-FFF2-40B4-BE49-F238E27FC236}">
              <a16:creationId xmlns:a16="http://schemas.microsoft.com/office/drawing/2014/main" id="{7BFFC645-DBC2-4E64-B846-3E86C19CE32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49" name="Rectangle 48">
          <a:extLst>
            <a:ext uri="{FF2B5EF4-FFF2-40B4-BE49-F238E27FC236}">
              <a16:creationId xmlns:a16="http://schemas.microsoft.com/office/drawing/2014/main" id="{46E43E58-9B36-4435-9BCC-6FD0E9A5E92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0" name="Rectangle 49">
          <a:extLst>
            <a:ext uri="{FF2B5EF4-FFF2-40B4-BE49-F238E27FC236}">
              <a16:creationId xmlns:a16="http://schemas.microsoft.com/office/drawing/2014/main" id="{F1F1F2AA-A07B-4215-8460-3E9993EE5252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1" name="Rectangle 50">
          <a:extLst>
            <a:ext uri="{FF2B5EF4-FFF2-40B4-BE49-F238E27FC236}">
              <a16:creationId xmlns:a16="http://schemas.microsoft.com/office/drawing/2014/main" id="{2F0672C4-55C2-42D8-AA6A-32FCE428A0AB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345017</xdr:colOff>
      <xdr:row>29</xdr:row>
      <xdr:rowOff>43392</xdr:rowOff>
    </xdr:from>
    <xdr:to>
      <xdr:col>6</xdr:col>
      <xdr:colOff>438150</xdr:colOff>
      <xdr:row>32</xdr:row>
      <xdr:rowOff>85725</xdr:rowOff>
    </xdr:to>
    <xdr:sp macro="R_1" textlink="">
      <xdr:nvSpPr>
        <xdr:cNvPr id="52" name="Rectangle 51">
          <a:extLst>
            <a:ext uri="{FF2B5EF4-FFF2-40B4-BE49-F238E27FC236}">
              <a16:creationId xmlns:a16="http://schemas.microsoft.com/office/drawing/2014/main" id="{7FFC88BC-E9EE-4C40-88D1-B6D161E0584D}"/>
            </a:ext>
          </a:extLst>
        </xdr:cNvPr>
        <xdr:cNvSpPr/>
      </xdr:nvSpPr>
      <xdr:spPr>
        <a:xfrm>
          <a:off x="2973917" y="6529917"/>
          <a:ext cx="1312333" cy="613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43F9-7A8B-4493-A597-005897D04447}">
  <dimension ref="A1:AH43"/>
  <sheetViews>
    <sheetView tabSelected="1" topLeftCell="A10" zoomScale="82" zoomScaleNormal="70" workbookViewId="0">
      <selection activeCell="R37" sqref="R37"/>
    </sheetView>
  </sheetViews>
  <sheetFormatPr defaultRowHeight="15" x14ac:dyDescent="0.25"/>
  <cols>
    <col min="1" max="1" width="12" customWidth="1"/>
    <col min="2" max="6" width="9.28515625" bestFit="1" customWidth="1"/>
    <col min="7" max="7" width="13.42578125" customWidth="1"/>
    <col min="8" max="8" width="12.140625" customWidth="1"/>
    <col min="9" max="9" width="13.5703125" customWidth="1"/>
    <col min="10" max="10" width="13.140625" bestFit="1" customWidth="1"/>
    <col min="11" max="11" width="11" customWidth="1"/>
    <col min="12" max="12" width="9.28515625" bestFit="1" customWidth="1"/>
    <col min="13" max="13" width="12.7109375" bestFit="1" customWidth="1"/>
    <col min="14" max="14" width="13.140625" bestFit="1" customWidth="1"/>
    <col min="15" max="15" width="12.28515625" bestFit="1" customWidth="1"/>
    <col min="16" max="16" width="9.28515625" bestFit="1" customWidth="1"/>
    <col min="17" max="17" width="11.140625" customWidth="1"/>
    <col min="18" max="20" width="9.28515625" bestFit="1" customWidth="1"/>
    <col min="21" max="21" width="13.42578125" bestFit="1" customWidth="1"/>
    <col min="22" max="23" width="9.28515625" bestFit="1" customWidth="1"/>
  </cols>
  <sheetData>
    <row r="1" spans="1:32" ht="21" x14ac:dyDescent="0.3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</row>
    <row r="3" spans="1:32" ht="45" x14ac:dyDescent="0.25">
      <c r="A3" s="7" t="s">
        <v>22</v>
      </c>
      <c r="B3" s="7" t="s">
        <v>21</v>
      </c>
      <c r="C3" s="7" t="s">
        <v>20</v>
      </c>
      <c r="D3" s="7" t="s">
        <v>19</v>
      </c>
      <c r="E3" s="7" t="s">
        <v>18</v>
      </c>
      <c r="F3" s="7" t="s">
        <v>17</v>
      </c>
      <c r="G3" s="7" t="s">
        <v>16</v>
      </c>
      <c r="H3" s="12" t="s">
        <v>15</v>
      </c>
      <c r="I3" s="12" t="s">
        <v>14</v>
      </c>
      <c r="J3" s="12" t="s">
        <v>13</v>
      </c>
    </row>
    <row r="4" spans="1:32" x14ac:dyDescent="0.25">
      <c r="A4" s="6" t="s">
        <v>12</v>
      </c>
      <c r="B4" s="3">
        <v>5.4000000000000006E-2</v>
      </c>
      <c r="C4" s="9">
        <v>-26420</v>
      </c>
      <c r="D4" s="9">
        <v>7.3730000000000002</v>
      </c>
      <c r="E4" s="9">
        <v>-3.07</v>
      </c>
      <c r="F4" s="9">
        <v>6.6619999999999999</v>
      </c>
      <c r="G4" s="9">
        <v>-3.0369999999999999</v>
      </c>
      <c r="H4" s="8">
        <v>132.91999999999999</v>
      </c>
      <c r="I4" s="8">
        <v>34.99</v>
      </c>
      <c r="J4" s="8">
        <v>6.6000000000000003E-2</v>
      </c>
    </row>
    <row r="5" spans="1:32" ht="18" x14ac:dyDescent="0.25">
      <c r="A5" s="6" t="s">
        <v>11</v>
      </c>
      <c r="B5" s="3">
        <v>0.1008</v>
      </c>
      <c r="C5" s="9">
        <v>-94050</v>
      </c>
      <c r="D5" s="9">
        <v>4.7279999999999998</v>
      </c>
      <c r="E5" s="9">
        <v>17.54</v>
      </c>
      <c r="F5" s="9">
        <v>-13.38</v>
      </c>
      <c r="G5" s="9">
        <v>4.0970000000000004</v>
      </c>
      <c r="H5" s="8">
        <v>304.19</v>
      </c>
      <c r="I5" s="8">
        <v>73.819999999999993</v>
      </c>
      <c r="J5" s="8">
        <v>0.22800000000000001</v>
      </c>
    </row>
    <row r="6" spans="1:32" ht="18" x14ac:dyDescent="0.25">
      <c r="A6" s="6" t="s">
        <v>10</v>
      </c>
      <c r="B6" s="3">
        <v>0.5696</v>
      </c>
      <c r="C6" s="9">
        <v>0</v>
      </c>
      <c r="D6" s="9">
        <v>6.4829999999999997</v>
      </c>
      <c r="E6" s="9">
        <v>2.2149999999999999</v>
      </c>
      <c r="F6" s="9">
        <v>-3.298</v>
      </c>
      <c r="G6" s="9">
        <v>1.8260000000000001</v>
      </c>
      <c r="H6" s="8">
        <v>33.18</v>
      </c>
      <c r="I6" s="8">
        <v>13.13</v>
      </c>
      <c r="J6" s="8">
        <v>-0.22</v>
      </c>
    </row>
    <row r="7" spans="1:32" ht="18" x14ac:dyDescent="0.25">
      <c r="A7" s="6" t="s">
        <v>9</v>
      </c>
      <c r="B7" s="3">
        <v>8.9999999999999998E-4</v>
      </c>
      <c r="C7" s="9">
        <v>-57800</v>
      </c>
      <c r="D7" s="9">
        <v>7.7009999999999996</v>
      </c>
      <c r="E7" s="9">
        <v>0.45950000000000002</v>
      </c>
      <c r="F7" s="9">
        <v>2.5209999999999999</v>
      </c>
      <c r="G7" s="9">
        <v>-0.85899999999999999</v>
      </c>
      <c r="H7" s="8">
        <v>647.13</v>
      </c>
      <c r="I7" s="8">
        <v>220.55</v>
      </c>
      <c r="J7" s="8">
        <v>0.34499999999999997</v>
      </c>
    </row>
    <row r="8" spans="1:32" ht="18" x14ac:dyDescent="0.25">
      <c r="A8" s="6" t="s">
        <v>8</v>
      </c>
      <c r="B8" s="3">
        <v>4.1999999999999997E-3</v>
      </c>
      <c r="C8" s="11">
        <v>-48080</v>
      </c>
      <c r="D8" s="10">
        <v>5.0620000000000003</v>
      </c>
      <c r="E8" s="10">
        <v>16.940000000000001</v>
      </c>
      <c r="F8" s="10">
        <v>6.1790000000000003</v>
      </c>
      <c r="G8" s="10">
        <v>-6.8109999999999999</v>
      </c>
      <c r="H8" s="8">
        <v>512.58000000000004</v>
      </c>
      <c r="I8" s="8">
        <v>80.959999999999994</v>
      </c>
      <c r="J8" s="8">
        <v>0.56599999999999995</v>
      </c>
    </row>
    <row r="9" spans="1:32" ht="18.75" thickBot="1" x14ac:dyDescent="0.3">
      <c r="A9" s="6" t="s">
        <v>7</v>
      </c>
      <c r="B9" s="3">
        <v>3.44E-2</v>
      </c>
      <c r="C9" s="6">
        <v>0</v>
      </c>
      <c r="D9" s="6">
        <v>7.44</v>
      </c>
      <c r="E9" s="6">
        <v>-3.24</v>
      </c>
      <c r="F9" s="6">
        <v>6.4</v>
      </c>
      <c r="G9" s="6">
        <v>-2.79</v>
      </c>
      <c r="H9" s="8">
        <v>126.1</v>
      </c>
      <c r="I9" s="8">
        <v>33.94</v>
      </c>
      <c r="J9" s="8">
        <v>0.04</v>
      </c>
    </row>
    <row r="10" spans="1:32" ht="19.5" thickTop="1" thickBot="1" x14ac:dyDescent="0.3">
      <c r="A10" s="6" t="s">
        <v>6</v>
      </c>
      <c r="B10" s="3">
        <v>0.2361</v>
      </c>
      <c r="C10" s="9">
        <v>-17890</v>
      </c>
      <c r="D10" s="9">
        <v>4.5979999999999999</v>
      </c>
      <c r="E10" s="9">
        <v>12.45</v>
      </c>
      <c r="F10" s="9">
        <v>2.86</v>
      </c>
      <c r="G10" s="9">
        <v>-2.7090000000000001</v>
      </c>
      <c r="H10" s="8">
        <v>190.58</v>
      </c>
      <c r="I10" s="8">
        <v>46.04</v>
      </c>
      <c r="J10" s="8">
        <v>1.0999999999999999E-2</v>
      </c>
      <c r="N10" s="26" t="s">
        <v>50</v>
      </c>
      <c r="O10" s="26">
        <f xml:space="preserve"> 0.00008314</f>
        <v>8.3139999999999993E-5</v>
      </c>
    </row>
    <row r="11" spans="1:32" ht="15.75" thickTop="1" x14ac:dyDescent="0.25"/>
    <row r="12" spans="1:32" x14ac:dyDescent="0.25">
      <c r="A12" s="7" t="s">
        <v>5</v>
      </c>
      <c r="B12" s="6">
        <v>430</v>
      </c>
      <c r="C12" s="1" t="s">
        <v>0</v>
      </c>
      <c r="E12" s="2" t="s">
        <v>4</v>
      </c>
      <c r="F12" s="1">
        <v>80</v>
      </c>
      <c r="G12" s="1" t="s">
        <v>3</v>
      </c>
    </row>
    <row r="13" spans="1:32" x14ac:dyDescent="0.25">
      <c r="A13" s="4" t="s">
        <v>2</v>
      </c>
      <c r="B13" s="5">
        <v>530</v>
      </c>
      <c r="C13" s="1" t="s">
        <v>0</v>
      </c>
      <c r="I13" s="16" t="s">
        <v>24</v>
      </c>
      <c r="J13" s="1">
        <v>100</v>
      </c>
      <c r="K13" s="18" t="s">
        <v>25</v>
      </c>
    </row>
    <row r="14" spans="1:32" x14ac:dyDescent="0.25">
      <c r="A14" s="4" t="s">
        <v>1</v>
      </c>
      <c r="B14" s="3">
        <v>480</v>
      </c>
      <c r="C14" s="1" t="s">
        <v>0</v>
      </c>
    </row>
    <row r="15" spans="1:32" x14ac:dyDescent="0.25">
      <c r="V15" s="32" t="s">
        <v>57</v>
      </c>
      <c r="W15" s="31"/>
      <c r="X15" s="31"/>
      <c r="Y15" s="31"/>
      <c r="Z15" s="31" t="s">
        <v>59</v>
      </c>
      <c r="AA15" s="31"/>
    </row>
    <row r="16" spans="1:32" ht="14.25" customHeight="1" x14ac:dyDescent="0.25">
      <c r="A16" s="7" t="s">
        <v>22</v>
      </c>
      <c r="B16" s="7" t="s">
        <v>30</v>
      </c>
      <c r="C16" s="7" t="s">
        <v>27</v>
      </c>
      <c r="D16" s="7" t="s">
        <v>28</v>
      </c>
      <c r="E16" s="7" t="s">
        <v>29</v>
      </c>
      <c r="F16" s="7" t="s">
        <v>38</v>
      </c>
      <c r="G16" s="7" t="s">
        <v>42</v>
      </c>
      <c r="H16" s="7" t="s">
        <v>40</v>
      </c>
      <c r="I16" s="7" t="s">
        <v>41</v>
      </c>
      <c r="K16" s="24" t="s">
        <v>46</v>
      </c>
      <c r="L16" s="24" t="s">
        <v>19</v>
      </c>
      <c r="M16" s="24" t="s">
        <v>47</v>
      </c>
      <c r="N16" s="24" t="s">
        <v>48</v>
      </c>
      <c r="O16" s="24" t="s">
        <v>49</v>
      </c>
      <c r="P16" s="27" t="s">
        <v>51</v>
      </c>
      <c r="Q16" s="27" t="s">
        <v>52</v>
      </c>
      <c r="R16" s="27" t="s">
        <v>53</v>
      </c>
      <c r="S16" s="27" t="s">
        <v>54</v>
      </c>
      <c r="T16" s="27" t="s">
        <v>55</v>
      </c>
      <c r="U16" s="28" t="s">
        <v>56</v>
      </c>
      <c r="V16" s="30" t="s">
        <v>58</v>
      </c>
      <c r="W16" s="30" t="s">
        <v>63</v>
      </c>
      <c r="X16" s="30" t="s">
        <v>64</v>
      </c>
      <c r="Y16" s="30" t="s">
        <v>60</v>
      </c>
      <c r="Z16" s="30" t="s">
        <v>61</v>
      </c>
      <c r="AA16" s="30" t="s">
        <v>62</v>
      </c>
      <c r="AB16" s="30" t="s">
        <v>58</v>
      </c>
      <c r="AC16" s="30" t="s">
        <v>65</v>
      </c>
      <c r="AD16" s="30" t="s">
        <v>66</v>
      </c>
      <c r="AE16" s="30" t="s">
        <v>67</v>
      </c>
      <c r="AF16" s="30" t="s">
        <v>68</v>
      </c>
    </row>
    <row r="17" spans="1:34" x14ac:dyDescent="0.25">
      <c r="A17" s="6" t="s">
        <v>12</v>
      </c>
      <c r="B17" s="3">
        <f xml:space="preserve"> $J$13*B4</f>
        <v>5.4</v>
      </c>
      <c r="C17" s="3">
        <v>-1</v>
      </c>
      <c r="D17" s="3">
        <v>1</v>
      </c>
      <c r="E17" s="3">
        <f t="shared" ref="E17:E23" si="0" xml:space="preserve"> B17+C17*$B$27+D17*$B$28</f>
        <v>0.55973776310647683</v>
      </c>
      <c r="F17" s="3">
        <f xml:space="preserve"> E17/$E$24</f>
        <v>6.8665364980237589E-3</v>
      </c>
      <c r="G17" s="3">
        <f xml:space="preserve"> F17*$F$12 / 1.015</f>
        <v>0.5412048471348776</v>
      </c>
      <c r="H17" s="3">
        <f xml:space="preserve"> G17^(C17)</f>
        <v>1.8477292014178557</v>
      </c>
      <c r="I17" s="3">
        <f xml:space="preserve"> G17^(D17)</f>
        <v>0.5412048471348776</v>
      </c>
      <c r="K17" s="3">
        <f xml:space="preserve"> 0.37464+1.54226*J4-0.26992*J4^2</f>
        <v>0.47525338847999998</v>
      </c>
      <c r="L17" s="3">
        <f xml:space="preserve"> 0.45724*($O$10^2*H4^2/I4)*(1+K17*(1-SQRT($B$13/H4)))^2</f>
        <v>4.4196143674495117E-7</v>
      </c>
      <c r="M17" s="3">
        <f xml:space="preserve"> 0.0778*($O$10*H4/I4)</f>
        <v>2.457174543126607E-5</v>
      </c>
      <c r="N17" s="3">
        <f xml:space="preserve"> L17*$F$12/($O$10*$B$29)^2</f>
        <v>1.0668890781831537E-2</v>
      </c>
      <c r="O17" s="3">
        <f xml:space="preserve"> M17*$F$12/($O$10*$B$29)</f>
        <v>3.4146677042463131E-2</v>
      </c>
      <c r="P17" s="1">
        <f xml:space="preserve"> O17-1</f>
        <v>-0.9658533229575369</v>
      </c>
      <c r="Q17" s="3">
        <f xml:space="preserve"> N17-3*O17^2-2*O17</f>
        <v>-6.1122449962221562E-2</v>
      </c>
      <c r="R17" s="3">
        <f xml:space="preserve"> O17^2 +O17^3-N17*O17</f>
        <v>8.4150325869644812E-4</v>
      </c>
      <c r="S17" s="3">
        <f xml:space="preserve"> Q17 - P17^2/3</f>
        <v>-0.37207999711826023</v>
      </c>
      <c r="T17" s="3">
        <f xml:space="preserve"> 2*P17^3/27 - P17*Q17/3 +R17</f>
        <v>-8.5579021702272703E-2</v>
      </c>
      <c r="U17" s="29">
        <f xml:space="preserve"> T17^2/4+S17^3/27</f>
        <v>-7.6912061344090125E-5</v>
      </c>
      <c r="V17" s="3">
        <f xml:space="preserve"> IF(U17&gt;0, (-T17/2 + SQRT(U17))^(1/3)+(-T17/2- SQRT(U17))^(1/3) - P17/3, 0)</f>
        <v>0</v>
      </c>
      <c r="W17" s="3">
        <f xml:space="preserve"> SQRT(-S17^3/27)</f>
        <v>4.3678991520221776E-2</v>
      </c>
      <c r="X17" s="3">
        <f xml:space="preserve"> IF(U17&lt;0, ACOS(-T17/(2*W17)), 0)</f>
        <v>0.20215603910642033</v>
      </c>
      <c r="Y17" s="3">
        <f xml:space="preserve"> IF(U17&lt;0, 2*W17^(1/3)*COS(X17/3) - (P17/3),0)</f>
        <v>1.0247009613065368</v>
      </c>
      <c r="Z17" s="3">
        <f xml:space="preserve"> IF(U17&lt;0, 2*W17^(1/3)*COS((2*PI()+X17)/3)-P17/3,0)</f>
        <v>-7.0496675298655331E-2</v>
      </c>
      <c r="AA17" s="3">
        <f xml:space="preserve"> IF(U17&lt;0,2*W17^(1/3)*COS((4*PI()+X17)/3)-P17/3,0)</f>
        <v>1.1649036949655522E-2</v>
      </c>
      <c r="AB17" s="1">
        <f xml:space="preserve"> MAX(V17,Y17,Z17,AA17)</f>
        <v>1.0247009613065368</v>
      </c>
      <c r="AC17" s="1">
        <f>AB17-1-LN(AB17-O17)+N17/(2*SQRT(2)*O17)*LN((AB17+O17*(1-SQRT(2)))/(AB17+O17*(1+SQRT(2))))</f>
        <v>2.4108630873050572E-2</v>
      </c>
      <c r="AD17" s="1">
        <f xml:space="preserve"> EXP(AC17)</f>
        <v>1.0244015934859843</v>
      </c>
      <c r="AE17" s="3">
        <f xml:space="preserve"> AD17^C17</f>
        <v>0.97617966074911411</v>
      </c>
      <c r="AF17" s="3">
        <f xml:space="preserve"> AD17^D17</f>
        <v>1.0244015934859843</v>
      </c>
    </row>
    <row r="18" spans="1:34" ht="18" x14ac:dyDescent="0.25">
      <c r="A18" s="6" t="s">
        <v>11</v>
      </c>
      <c r="B18" s="3">
        <f t="shared" ref="B18:B23" si="1" xml:space="preserve"> $J$13*B5</f>
        <v>10.08</v>
      </c>
      <c r="C18" s="3">
        <v>0</v>
      </c>
      <c r="D18" s="3">
        <v>-1</v>
      </c>
      <c r="E18" s="3">
        <f t="shared" si="0"/>
        <v>5.678638986771257</v>
      </c>
      <c r="F18" s="3">
        <f t="shared" ref="F18:F23" si="2" xml:space="preserve"> E18/$E$24</f>
        <v>6.9662231909030731E-2</v>
      </c>
      <c r="G18" s="3">
        <f t="shared" ref="G18:G23" si="3" xml:space="preserve"> F18*$F$12 / 1.015</f>
        <v>5.4906192637659696</v>
      </c>
      <c r="H18" s="3">
        <f t="shared" ref="H18:H23" si="4" xml:space="preserve"> G18^(C18)</f>
        <v>1</v>
      </c>
      <c r="I18" s="3">
        <f t="shared" ref="I18:I23" si="5" xml:space="preserve"> G18^(D18)</f>
        <v>0.18212881861965211</v>
      </c>
      <c r="K18" s="3">
        <f xml:space="preserve"> 0.37464+1.54226*J5-0.26992*J5^2</f>
        <v>0.71224375872000001</v>
      </c>
      <c r="L18" s="3">
        <f xml:space="preserve"> 0.45724*($O$10^2*H5^2/I5)*(1+K18*(1-SQRT($B$13/H5)))^2</f>
        <v>2.3617153009722543E-6</v>
      </c>
      <c r="M18" s="3">
        <f xml:space="preserve"> 0.0778*($O$10*H5/I5)</f>
        <v>2.6653884360335949E-5</v>
      </c>
      <c r="N18" s="3">
        <f t="shared" ref="N18:N23" si="6" xml:space="preserve"> L18*$F$12/($O$10*$B$29)^2</f>
        <v>5.7011495820605024E-2</v>
      </c>
      <c r="O18" s="3">
        <f t="shared" ref="O18:O23" si="7" xml:space="preserve"> M18*$F$12/($O$10*$B$29)</f>
        <v>3.7040168095728777E-2</v>
      </c>
      <c r="P18" s="1">
        <f t="shared" ref="P18:P23" si="8" xml:space="preserve"> O18-1</f>
        <v>-0.96295983190427126</v>
      </c>
      <c r="Q18" s="3">
        <f xml:space="preserve"> N18-3*O18^2-2*O18</f>
        <v>-2.1184762528532061E-2</v>
      </c>
      <c r="R18" s="3">
        <f xml:space="preserve"> O18^2 +O18^3-N18*O18</f>
        <v>-6.8892318649451008E-4</v>
      </c>
      <c r="S18" s="3">
        <f t="shared" ref="S18:S23" si="9" xml:space="preserve"> Q18 - P18^2/3</f>
        <v>-0.33028197514889951</v>
      </c>
      <c r="T18" s="3">
        <f xml:space="preserve"> 2*P18^3/27 - P18*Q18/3 +R18</f>
        <v>-7.3632992731405292E-2</v>
      </c>
      <c r="U18" s="29">
        <f xml:space="preserve"> T18^2/4+S18^3/27</f>
        <v>2.1039589147645857E-5</v>
      </c>
      <c r="V18" s="3">
        <f t="shared" ref="V18:V23" si="10" xml:space="preserve"> IF(U18&gt;0, (-T18/2 + SQRT(U18))^(1/3)+(-T18/2- SQRT(U18))^(1/3) - P18/3, 0)</f>
        <v>0.98517323872617102</v>
      </c>
      <c r="W18" s="3">
        <f t="shared" ref="W18:W23" si="11" xml:space="preserve"> SQRT(-S18^3/27)</f>
        <v>3.652964296976019E-2</v>
      </c>
      <c r="X18" s="3">
        <f t="shared" ref="X18:X23" si="12" xml:space="preserve"> IF(U18&lt;0, ACOS(-T18/(2*W18)), 0)</f>
        <v>0</v>
      </c>
      <c r="Y18" s="3">
        <f t="shared" ref="Y18:Y23" si="13" xml:space="preserve"> IF(U18&lt;0, 2*W18^(1/3)*COS(X18/3) - (P18/3),0)</f>
        <v>0</v>
      </c>
      <c r="Z18" s="3">
        <f t="shared" ref="Z18:Z23" si="14" xml:space="preserve"> IF(U18&lt;0, 2*W18^(1/3)*COS((2*PI()+X18)/3)-P18/3,0)</f>
        <v>0</v>
      </c>
      <c r="AA18" s="3">
        <f t="shared" ref="AA18:AA23" si="15" xml:space="preserve"> IF(U18&lt;0,2*W18^(1/3)*COS((4*PI()+X18)/3)-P18/3,0)</f>
        <v>0</v>
      </c>
      <c r="AB18" s="1">
        <f t="shared" ref="AB18:AB23" si="16" xml:space="preserve"> MAX(V18,Y18,Z18,AA18)</f>
        <v>0.98517323872617102</v>
      </c>
      <c r="AC18" s="1">
        <f t="shared" ref="AC18:AC23" si="17">AB18-1-LN(AB18-O18)+N18/(2*SQRT(2)*O18)*LN((AB18+O18*(1-SQRT(2)))/(AB18+O18*(1+SQRT(2))))</f>
        <v>-1.7387837460321728E-2</v>
      </c>
      <c r="AD18" s="1">
        <f t="shared" ref="AD18:AD23" si="18" xml:space="preserve"> EXP(AC18)</f>
        <v>0.98276245861677347</v>
      </c>
      <c r="AE18" s="3">
        <f t="shared" ref="AE18:AE23" si="19" xml:space="preserve"> AD18^C18</f>
        <v>1</v>
      </c>
      <c r="AF18" s="3">
        <f t="shared" ref="AF18:AF23" si="20" xml:space="preserve"> AD18^D18</f>
        <v>1.0175398858921496</v>
      </c>
    </row>
    <row r="19" spans="1:34" ht="18" x14ac:dyDescent="0.25">
      <c r="A19" s="6" t="s">
        <v>10</v>
      </c>
      <c r="B19" s="3">
        <f t="shared" si="1"/>
        <v>56.96</v>
      </c>
      <c r="C19" s="3">
        <v>-2</v>
      </c>
      <c r="D19" s="3">
        <v>-1</v>
      </c>
      <c r="E19" s="3">
        <f t="shared" si="0"/>
        <v>34.075392486526724</v>
      </c>
      <c r="F19" s="3">
        <f t="shared" si="2"/>
        <v>0.41801704586565691</v>
      </c>
      <c r="G19" s="3">
        <f t="shared" si="3"/>
        <v>32.947156324386754</v>
      </c>
      <c r="H19" s="3">
        <f t="shared" si="4"/>
        <v>9.2122163101504388E-4</v>
      </c>
      <c r="I19" s="3">
        <f t="shared" si="5"/>
        <v>3.0351633086459186E-2</v>
      </c>
      <c r="K19" s="3">
        <f xml:space="preserve"> 0.37464+1.54226*J6-0.26992*J6^2</f>
        <v>2.2278671999999951E-2</v>
      </c>
      <c r="L19" s="3">
        <f xml:space="preserve"> 0.45724*($O$10^2*H6^2/I6)*(1+K19*(1-SQRT($B$13/H6)))^2</f>
        <v>2.3080063799599019E-7</v>
      </c>
      <c r="M19" s="3">
        <f xml:space="preserve"> 0.0778*($O$10*H6/I6)</f>
        <v>1.6345615274942876E-5</v>
      </c>
      <c r="N19" s="3">
        <f t="shared" si="6"/>
        <v>5.5714969552360764E-3</v>
      </c>
      <c r="O19" s="3">
        <f t="shared" si="7"/>
        <v>2.271505080561417E-2</v>
      </c>
      <c r="P19" s="1">
        <f t="shared" si="8"/>
        <v>-0.9772849491943858</v>
      </c>
      <c r="Q19" s="3">
        <f xml:space="preserve"> N19-3*O19^2-2*O19</f>
        <v>-4.1406525255297158E-2</v>
      </c>
      <c r="R19" s="3">
        <f xml:space="preserve"> O19^2 +O19^3-N19*O19</f>
        <v>4.0113706171887657E-4</v>
      </c>
      <c r="S19" s="3">
        <f t="shared" si="9"/>
        <v>-0.3597684825625882</v>
      </c>
      <c r="T19" s="3">
        <f xml:space="preserve"> 2*P19^3/27 - P19*Q19/3 +R19</f>
        <v>-8.2227598531201096E-2</v>
      </c>
      <c r="U19" s="29">
        <f xml:space="preserve"> T19^2/4+S19^3/27</f>
        <v>-3.4323802402518944E-5</v>
      </c>
      <c r="V19" s="3">
        <f t="shared" si="10"/>
        <v>0</v>
      </c>
      <c r="W19" s="3">
        <f t="shared" si="11"/>
        <v>4.1529125833017662E-2</v>
      </c>
      <c r="X19" s="3">
        <f t="shared" si="12"/>
        <v>0.14154550027979007</v>
      </c>
      <c r="Y19" s="3">
        <f t="shared" si="13"/>
        <v>1.017588397716602</v>
      </c>
      <c r="Z19" s="3">
        <f t="shared" si="14"/>
        <v>-4.8441221284161062E-2</v>
      </c>
      <c r="AA19" s="3">
        <f t="shared" si="15"/>
        <v>8.1377727619449947E-3</v>
      </c>
      <c r="AB19" s="1">
        <f t="shared" si="16"/>
        <v>1.017588397716602</v>
      </c>
      <c r="AC19" s="1">
        <f t="shared" si="17"/>
        <v>1.7370887982002276E-2</v>
      </c>
      <c r="AD19" s="1">
        <f t="shared" si="18"/>
        <v>1.0175226392680756</v>
      </c>
      <c r="AE19" s="3">
        <f t="shared" si="19"/>
        <v>0.9658547909812194</v>
      </c>
      <c r="AF19" s="3">
        <f t="shared" si="20"/>
        <v>0.98277911606892598</v>
      </c>
    </row>
    <row r="20" spans="1:34" ht="18" x14ac:dyDescent="0.25">
      <c r="A20" s="6" t="s">
        <v>9</v>
      </c>
      <c r="B20" s="3">
        <f t="shared" si="1"/>
        <v>0.09</v>
      </c>
      <c r="C20" s="3">
        <v>0</v>
      </c>
      <c r="D20" s="3">
        <v>1</v>
      </c>
      <c r="E20" s="3">
        <f t="shared" si="0"/>
        <v>4.4913610132287429</v>
      </c>
      <c r="F20" s="3">
        <f t="shared" si="2"/>
        <v>5.5097398024348661E-2</v>
      </c>
      <c r="G20" s="3">
        <f t="shared" si="3"/>
        <v>4.3426520610324078</v>
      </c>
      <c r="H20" s="3">
        <f t="shared" si="4"/>
        <v>1</v>
      </c>
      <c r="I20" s="3">
        <f t="shared" si="5"/>
        <v>4.3426520610324078</v>
      </c>
      <c r="K20" s="3">
        <f xml:space="preserve"> 0.37464+1.54226*J7-0.26992*J7^2</f>
        <v>0.8745924719999999</v>
      </c>
      <c r="L20" s="3">
        <f xml:space="preserve"> 0.45724*($O$10^2*H7^2/I7)*(1+K20*(1-SQRT($B$13/H7)))^2</f>
        <v>7.0400500138261049E-6</v>
      </c>
      <c r="M20" s="3">
        <f xml:space="preserve"> 0.0778*($O$10*H7/I7)</f>
        <v>1.8979033334663337E-5</v>
      </c>
      <c r="N20" s="3">
        <f t="shared" si="6"/>
        <v>0.16994587864797536</v>
      </c>
      <c r="O20" s="3">
        <f t="shared" si="7"/>
        <v>2.6374639264830566E-2</v>
      </c>
      <c r="P20" s="1">
        <f t="shared" si="8"/>
        <v>-0.97362536073516948</v>
      </c>
      <c r="Q20" s="3">
        <f xml:space="preserve"> N20-3*O20^2-2*O20</f>
        <v>0.11510973532926441</v>
      </c>
      <c r="R20" s="3">
        <f xml:space="preserve"> O20^2 +O20^3-N20*O20</f>
        <v>-3.7682928788665237E-3</v>
      </c>
      <c r="S20" s="3">
        <f t="shared" si="9"/>
        <v>-0.20087237902629854</v>
      </c>
      <c r="T20" s="3">
        <f xml:space="preserve"> 2*P20^3/27 - P20*Q20/3 +R20</f>
        <v>-3.4776640367570777E-2</v>
      </c>
      <c r="U20" s="29">
        <f xml:space="preserve"> T20^2/4+S20^3/27</f>
        <v>2.1632056962464529E-6</v>
      </c>
      <c r="V20" s="3">
        <f t="shared" si="10"/>
        <v>0.84227128022121645</v>
      </c>
      <c r="W20" s="3">
        <f t="shared" si="11"/>
        <v>1.7326005688490118E-2</v>
      </c>
      <c r="X20" s="3">
        <f t="shared" si="12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  <c r="AB20" s="1">
        <f t="shared" si="16"/>
        <v>0.84227128022121645</v>
      </c>
      <c r="AC20" s="1">
        <f t="shared" si="17"/>
        <v>-0.15002609408957568</v>
      </c>
      <c r="AD20" s="1">
        <f t="shared" si="18"/>
        <v>0.86068551732704857</v>
      </c>
      <c r="AE20" s="3">
        <f t="shared" si="19"/>
        <v>1</v>
      </c>
      <c r="AF20" s="3">
        <f t="shared" si="20"/>
        <v>0.86068551732704857</v>
      </c>
    </row>
    <row r="21" spans="1:34" ht="18" x14ac:dyDescent="0.25">
      <c r="A21" s="6" t="s">
        <v>8</v>
      </c>
      <c r="B21" s="3">
        <f t="shared" si="1"/>
        <v>0.42</v>
      </c>
      <c r="C21" s="3">
        <v>1</v>
      </c>
      <c r="D21" s="3">
        <v>0</v>
      </c>
      <c r="E21" s="3">
        <f t="shared" si="0"/>
        <v>9.6616232501222665</v>
      </c>
      <c r="F21" s="3">
        <f t="shared" si="2"/>
        <v>0.11852316039734398</v>
      </c>
      <c r="G21" s="3">
        <f t="shared" si="3"/>
        <v>9.3417269278694768</v>
      </c>
      <c r="H21" s="3">
        <f t="shared" si="4"/>
        <v>9.3417269278694768</v>
      </c>
      <c r="I21" s="3">
        <f t="shared" si="5"/>
        <v>1</v>
      </c>
      <c r="K21" s="3">
        <f xml:space="preserve"> 0.37464+1.54226*J8-0.26992*J8^2</f>
        <v>1.1610886684799997</v>
      </c>
      <c r="L21" s="3">
        <f xml:space="preserve"> 0.45724*($O$10^2*H8^2/I8)*(1+K21*(1-SQRT($B$13/H8)))^2</f>
        <v>9.8594968004654832E-6</v>
      </c>
      <c r="M21" s="3">
        <f xml:space="preserve"> 0.0778*($O$10*H8/I8)</f>
        <v>4.0952533514822134E-5</v>
      </c>
      <c r="N21" s="3">
        <f t="shared" si="6"/>
        <v>0.2380069521510926</v>
      </c>
      <c r="O21" s="3">
        <f t="shared" si="7"/>
        <v>5.691060653029182E-2</v>
      </c>
      <c r="P21" s="1">
        <f t="shared" si="8"/>
        <v>-0.94308939346970821</v>
      </c>
      <c r="Q21" s="3">
        <f xml:space="preserve"> N21-3*O21^2-2*O21</f>
        <v>0.11446928768357188</v>
      </c>
      <c r="R21" s="3">
        <f xml:space="preserve"> O21^2 +O21^3-N21*O21</f>
        <v>-1.0121979822068831E-2</v>
      </c>
      <c r="S21" s="3">
        <f t="shared" si="9"/>
        <v>-0.18200324700811549</v>
      </c>
      <c r="T21" s="3">
        <f xml:space="preserve"> 2*P21^3/27 - P21*Q21/3 +R21</f>
        <v>-3.6270412329668038E-2</v>
      </c>
      <c r="U21" s="29">
        <f xml:space="preserve"> T21^2/4+S21^3/27</f>
        <v>1.055934556985524E-4</v>
      </c>
      <c r="V21" s="3">
        <f t="shared" si="10"/>
        <v>0.81832172440234907</v>
      </c>
      <c r="W21" s="3">
        <f t="shared" si="11"/>
        <v>1.4942966470633647E-2</v>
      </c>
      <c r="X21" s="3">
        <f t="shared" si="12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  <c r="AB21" s="1">
        <f t="shared" si="16"/>
        <v>0.81832172440234907</v>
      </c>
      <c r="AC21" s="1">
        <f t="shared" si="17"/>
        <v>-0.18180260019467337</v>
      </c>
      <c r="AD21" s="1">
        <f t="shared" si="18"/>
        <v>0.8337659094004618</v>
      </c>
      <c r="AE21" s="3">
        <f t="shared" si="19"/>
        <v>0.8337659094004618</v>
      </c>
      <c r="AF21" s="3">
        <f t="shared" si="20"/>
        <v>1</v>
      </c>
    </row>
    <row r="22" spans="1:34" ht="18" x14ac:dyDescent="0.25">
      <c r="A22" s="6" t="s">
        <v>7</v>
      </c>
      <c r="B22" s="3">
        <f t="shared" si="1"/>
        <v>3.44</v>
      </c>
      <c r="C22" s="3">
        <v>0</v>
      </c>
      <c r="D22" s="3">
        <v>0</v>
      </c>
      <c r="E22" s="3">
        <f t="shared" si="0"/>
        <v>3.44</v>
      </c>
      <c r="F22" s="3">
        <f t="shared" si="2"/>
        <v>4.2199914156423317E-2</v>
      </c>
      <c r="G22" s="3">
        <f t="shared" si="3"/>
        <v>3.3261016083880452</v>
      </c>
      <c r="H22" s="3">
        <f t="shared" si="4"/>
        <v>1</v>
      </c>
      <c r="I22" s="3">
        <f t="shared" si="5"/>
        <v>1</v>
      </c>
      <c r="K22" s="3">
        <f xml:space="preserve"> 0.37464+1.54226*J9-0.26992*J9^2</f>
        <v>0.43589852799999995</v>
      </c>
      <c r="L22" s="3">
        <f xml:space="preserve"> 0.45724*($O$10^2*H9^2/I9)*(1+K22*(1-SQRT($B$13/H9)))^2</f>
        <v>4.3539641170166632E-7</v>
      </c>
      <c r="M22" s="3">
        <f xml:space="preserve"> 0.0778*($O$10*H9/I9)</f>
        <v>2.403216326458456E-5</v>
      </c>
      <c r="N22" s="3">
        <f t="shared" si="6"/>
        <v>1.0510411943309671E-2</v>
      </c>
      <c r="O22" s="3">
        <f t="shared" si="7"/>
        <v>3.3396834584788093E-2</v>
      </c>
      <c r="P22" s="1">
        <f t="shared" si="8"/>
        <v>-0.96660316541521185</v>
      </c>
      <c r="Q22" s="3">
        <f xml:space="preserve"> N22-3*O22^2-2*O22</f>
        <v>-5.9629302907117612E-2</v>
      </c>
      <c r="R22" s="3">
        <f xml:space="preserve"> O22^2 +O22^3-N22*O22</f>
        <v>8.0158318256718015E-4</v>
      </c>
      <c r="S22" s="3">
        <f t="shared" si="9"/>
        <v>-0.37106986270402009</v>
      </c>
      <c r="T22" s="3">
        <f xml:space="preserve"> 2*P22^3/27 - P22*Q22/3 +R22</f>
        <v>-8.530869245091173E-2</v>
      </c>
      <c r="U22" s="29">
        <f xml:space="preserve"> T22^2/4+S22^3/27</f>
        <v>-7.2964686967850025E-5</v>
      </c>
      <c r="V22" s="3">
        <f t="shared" si="10"/>
        <v>0</v>
      </c>
      <c r="W22" s="3">
        <f t="shared" si="11"/>
        <v>4.3501240659191677E-2</v>
      </c>
      <c r="X22" s="3">
        <f t="shared" si="12"/>
        <v>0.19764504202151678</v>
      </c>
      <c r="Y22" s="3">
        <f t="shared" si="13"/>
        <v>1.0240667606822034</v>
      </c>
      <c r="Z22" s="3">
        <f t="shared" si="14"/>
        <v>-6.8834930181323362E-2</v>
      </c>
      <c r="AA22" s="3">
        <f t="shared" si="15"/>
        <v>1.1371334914331732E-2</v>
      </c>
      <c r="AB22" s="1">
        <f t="shared" si="16"/>
        <v>1.0240667606822034</v>
      </c>
      <c r="AC22" s="1">
        <f t="shared" si="17"/>
        <v>2.3494749346764068E-2</v>
      </c>
      <c r="AD22" s="1">
        <f t="shared" si="18"/>
        <v>1.023772925255894</v>
      </c>
      <c r="AE22" s="3">
        <f t="shared" si="19"/>
        <v>1</v>
      </c>
      <c r="AF22" s="3">
        <f t="shared" si="20"/>
        <v>1</v>
      </c>
    </row>
    <row r="23" spans="1:34" ht="18" x14ac:dyDescent="0.25">
      <c r="A23" s="6" t="s">
        <v>6</v>
      </c>
      <c r="B23" s="3">
        <f t="shared" si="1"/>
        <v>23.61</v>
      </c>
      <c r="C23" s="3">
        <v>0</v>
      </c>
      <c r="D23" s="3">
        <v>0</v>
      </c>
      <c r="E23" s="3">
        <f t="shared" si="0"/>
        <v>23.61</v>
      </c>
      <c r="F23" s="3">
        <f t="shared" si="2"/>
        <v>0.2896337131491728</v>
      </c>
      <c r="G23" s="3">
        <f t="shared" si="3"/>
        <v>22.828272957570274</v>
      </c>
      <c r="H23" s="3">
        <f t="shared" si="4"/>
        <v>1</v>
      </c>
      <c r="I23" s="3">
        <f t="shared" si="5"/>
        <v>1</v>
      </c>
      <c r="K23" s="3">
        <f xml:space="preserve"> 0.37464+1.54226*J10-0.26992*J10^2</f>
        <v>0.39157219967999995</v>
      </c>
      <c r="L23" s="3">
        <f xml:space="preserve"> 0.45724*($O$10^2*H10^2/I10)*(1+K23*(1-SQRT($B$13/H10)))^2</f>
        <v>1.3601071918823594E-6</v>
      </c>
      <c r="M23" s="3">
        <f xml:space="preserve"> 0.0778*($O$10*H10/I10)</f>
        <v>2.6775132262380539E-5</v>
      </c>
      <c r="N23" s="3">
        <f t="shared" si="6"/>
        <v>3.2832808193965689E-2</v>
      </c>
      <c r="O23" s="3">
        <f t="shared" si="7"/>
        <v>3.720866296170295E-2</v>
      </c>
      <c r="P23" s="1">
        <f t="shared" si="8"/>
        <v>-0.962791337038297</v>
      </c>
      <c r="Q23" s="3">
        <f xml:space="preserve"> N23-3*O23^2-2*O23</f>
        <v>-4.5737971527633023E-2</v>
      </c>
      <c r="R23" s="3">
        <f xml:space="preserve"> O23^2 +O23^3-N23*O23</f>
        <v>2.1433452605675051E-4</v>
      </c>
      <c r="S23" s="3">
        <f t="shared" si="9"/>
        <v>-0.35472702441963028</v>
      </c>
      <c r="T23" s="3">
        <f xml:space="preserve"> 2*P23^3/27 - P23*Q23/3 +R23</f>
        <v>-8.0573702697242608E-2</v>
      </c>
      <c r="U23" s="29">
        <f xml:space="preserve"> T23^2/4+S23^3/27</f>
        <v>-3.0145500869520206E-5</v>
      </c>
      <c r="V23" s="3">
        <f t="shared" si="10"/>
        <v>0</v>
      </c>
      <c r="W23" s="3">
        <f t="shared" si="11"/>
        <v>4.0659265763850559E-2</v>
      </c>
      <c r="X23" s="3">
        <f t="shared" si="12"/>
        <v>0.13545047152800005</v>
      </c>
      <c r="Y23" s="3">
        <f t="shared" si="13"/>
        <v>1.0079572686419211</v>
      </c>
      <c r="Z23" s="3">
        <f t="shared" si="14"/>
        <v>-4.9464796416225199E-2</v>
      </c>
      <c r="AA23" s="3">
        <f t="shared" si="15"/>
        <v>4.2988648126007223E-3</v>
      </c>
      <c r="AB23" s="1">
        <f t="shared" si="16"/>
        <v>1.0079572686419211</v>
      </c>
      <c r="AC23" s="1">
        <f t="shared" si="17"/>
        <v>6.2044648507233457E-3</v>
      </c>
      <c r="AD23" s="1">
        <f t="shared" si="18"/>
        <v>1.0062237524117972</v>
      </c>
      <c r="AE23" s="3">
        <f t="shared" si="19"/>
        <v>1</v>
      </c>
      <c r="AF23" s="3">
        <f t="shared" si="20"/>
        <v>1</v>
      </c>
    </row>
    <row r="24" spans="1:34" x14ac:dyDescent="0.25">
      <c r="A24" s="19" t="s">
        <v>26</v>
      </c>
      <c r="B24" s="20">
        <f t="shared" ref="B24:G24" si="21" xml:space="preserve"> SUM(B17:B23)</f>
        <v>100</v>
      </c>
      <c r="C24" s="20">
        <f t="shared" si="21"/>
        <v>-2</v>
      </c>
      <c r="D24" s="20">
        <f t="shared" si="21"/>
        <v>0</v>
      </c>
      <c r="E24" s="20">
        <f t="shared" si="21"/>
        <v>81.516753499755453</v>
      </c>
      <c r="F24" s="20">
        <f t="shared" si="21"/>
        <v>1.0000000000000002</v>
      </c>
      <c r="G24" s="20">
        <f t="shared" si="21"/>
        <v>78.817733990147815</v>
      </c>
      <c r="H24" s="20">
        <f t="shared" ref="H24:I24" si="22" xml:space="preserve"> SUM(H17:H23)</f>
        <v>15.190377350918347</v>
      </c>
      <c r="I24" s="20">
        <f t="shared" si="22"/>
        <v>8.096337359873397</v>
      </c>
      <c r="M24" s="25"/>
      <c r="N24" s="25"/>
      <c r="O24" s="25"/>
      <c r="P24" s="25"/>
      <c r="Q24" s="25"/>
    </row>
    <row r="25" spans="1:34" x14ac:dyDescent="0.25">
      <c r="AG25" t="s">
        <v>69</v>
      </c>
      <c r="AH25">
        <f xml:space="preserve"> PRODUCT(AE17:AE23)</f>
        <v>0.78611435522163442</v>
      </c>
    </row>
    <row r="26" spans="1:34" ht="16.5" customHeight="1" x14ac:dyDescent="0.25">
      <c r="A26" s="23" t="s">
        <v>39</v>
      </c>
      <c r="B26" s="23"/>
      <c r="C26" s="23"/>
      <c r="AG26" t="s">
        <v>70</v>
      </c>
      <c r="AH26">
        <f xml:space="preserve"> PRODUCT(AF17:AF23)</f>
        <v>0.88170255971190814</v>
      </c>
    </row>
    <row r="27" spans="1:34" x14ac:dyDescent="0.25">
      <c r="A27" s="14" t="s">
        <v>31</v>
      </c>
      <c r="B27" s="15">
        <v>9.2416232501222666</v>
      </c>
      <c r="C27" s="15" t="s">
        <v>25</v>
      </c>
      <c r="J27" s="17" t="s">
        <v>35</v>
      </c>
      <c r="K27" s="17" t="s">
        <v>36</v>
      </c>
      <c r="L27" s="17" t="s">
        <v>37</v>
      </c>
      <c r="Q27" t="s">
        <v>89</v>
      </c>
      <c r="R27" s="33">
        <f xml:space="preserve"> 1-(E17+E18)/(B17+B18)</f>
        <v>0.59700408592521104</v>
      </c>
    </row>
    <row r="28" spans="1:34" x14ac:dyDescent="0.25">
      <c r="A28" s="14" t="s">
        <v>32</v>
      </c>
      <c r="B28" s="15">
        <v>4.4013610132287431</v>
      </c>
      <c r="C28" s="15" t="s">
        <v>25</v>
      </c>
      <c r="I28" s="16" t="s">
        <v>33</v>
      </c>
      <c r="J28" s="3">
        <f xml:space="preserve"> EXP(-(-22828+56.02*B29)/1.987/B29)</f>
        <v>9.1558857274988925E-6</v>
      </c>
      <c r="K28" s="3">
        <f xml:space="preserve"> PRODUCT(H17:H23)</f>
        <v>1.5901189655909274E-2</v>
      </c>
      <c r="L28" s="3">
        <f xml:space="preserve"> AH25</f>
        <v>0.78611435522163442</v>
      </c>
      <c r="M28" s="21" t="s">
        <v>44</v>
      </c>
    </row>
    <row r="29" spans="1:34" x14ac:dyDescent="0.25">
      <c r="A29" s="14" t="s">
        <v>90</v>
      </c>
      <c r="B29" s="15">
        <v>692.41668921532494</v>
      </c>
      <c r="C29" s="15" t="s">
        <v>0</v>
      </c>
      <c r="I29" s="16" t="s">
        <v>34</v>
      </c>
      <c r="J29" s="3">
        <f xml:space="preserve"> EXP(-(8514-7.71*B29)/1.987/B29)</f>
        <v>9.9456563609542456E-2</v>
      </c>
      <c r="K29" s="3">
        <f xml:space="preserve"> PRODUCT(I17:I23)</f>
        <v>1.2992042905225498E-2</v>
      </c>
      <c r="L29" s="3">
        <f xml:space="preserve"> AH26</f>
        <v>0.88170255971190814</v>
      </c>
    </row>
    <row r="30" spans="1:34" x14ac:dyDescent="0.25">
      <c r="L30" s="13" t="s">
        <v>45</v>
      </c>
    </row>
    <row r="31" spans="1:34" x14ac:dyDescent="0.25">
      <c r="I31" s="21" t="s">
        <v>43</v>
      </c>
    </row>
    <row r="32" spans="1:34" x14ac:dyDescent="0.25">
      <c r="L32">
        <f xml:space="preserve"> LN(J28)-LN(K28*L28)</f>
        <v>-7.2190992781054923</v>
      </c>
      <c r="N32" t="s">
        <v>71</v>
      </c>
    </row>
    <row r="33" spans="1:14" x14ac:dyDescent="0.25">
      <c r="L33">
        <f xml:space="preserve"> LN(J29) -LN(K29*L29)</f>
        <v>2.1612844301026675</v>
      </c>
      <c r="N33" t="s">
        <v>72</v>
      </c>
    </row>
    <row r="34" spans="1:14" x14ac:dyDescent="0.25">
      <c r="L34">
        <f xml:space="preserve"> 1 - SUM(C37:C43)/SUM(E37:E43)</f>
        <v>1.2093437362636905E-11</v>
      </c>
      <c r="N34" t="s">
        <v>94</v>
      </c>
    </row>
    <row r="36" spans="1:14" x14ac:dyDescent="0.25">
      <c r="A36" s="7" t="s">
        <v>22</v>
      </c>
      <c r="B36" s="7" t="s">
        <v>76</v>
      </c>
      <c r="C36" s="7" t="s">
        <v>91</v>
      </c>
      <c r="D36" s="7" t="s">
        <v>77</v>
      </c>
      <c r="E36" s="7" t="s">
        <v>92</v>
      </c>
      <c r="H36" s="34" t="s">
        <v>93</v>
      </c>
      <c r="I36" s="35">
        <f xml:space="preserve"> SUM(C37:C43)-SUM(E37:E43)</f>
        <v>1.6863923519849777E-5</v>
      </c>
      <c r="J36" s="35" t="s">
        <v>81</v>
      </c>
    </row>
    <row r="37" spans="1:14" x14ac:dyDescent="0.25">
      <c r="A37" s="6" t="s">
        <v>12</v>
      </c>
      <c r="B37" s="3">
        <f xml:space="preserve"> C4+D4*($B$14-298)+E4/2/1000*($B$14^2-298^2)+F4/3/1000000*($B$14^3-298^3)+G4/4/1000000000*($B$14^4-298^4)</f>
        <v>-25142.959297411318</v>
      </c>
      <c r="C37" s="3">
        <f xml:space="preserve"> B37*B17</f>
        <v>-135771.98020602114</v>
      </c>
      <c r="D37" s="3">
        <f xml:space="preserve"> C4+D4*($B$29-298)+E4/2/1000*($B$29^2-298^2)+F4/3/1000000*($B$29^3-298^3)+G4/4/1000000000*($B$29^4-298^4)</f>
        <v>-23601.695438401501</v>
      </c>
      <c r="E37" s="3">
        <f xml:space="preserve"> D37*E17</f>
        <v>-13210.760210211194</v>
      </c>
      <c r="I37" s="36">
        <f xml:space="preserve"> I36/J13</f>
        <v>1.6863923519849776E-7</v>
      </c>
      <c r="J37" s="35" t="s">
        <v>82</v>
      </c>
    </row>
    <row r="38" spans="1:14" ht="18" x14ac:dyDescent="0.25">
      <c r="A38" s="6" t="s">
        <v>11</v>
      </c>
      <c r="B38" s="3">
        <f t="shared" ref="B38:B43" si="23" xml:space="preserve"> C5+D5*($B$14-298)+E5/2/1000*($B$14^2-298^2)+F5/3/1000000*($B$14^3-298^3)+G5/4/1000000000*($B$14^4-298^4)</f>
        <v>-92276.625718363604</v>
      </c>
      <c r="C38" s="3">
        <f t="shared" ref="C38:C43" si="24" xml:space="preserve"> B38*B18</f>
        <v>-930148.38724110508</v>
      </c>
      <c r="D38" s="3">
        <f t="shared" ref="D38:D43" si="25" xml:space="preserve"> C5+D5*($B$29-298)+E5/2/1000*($B$29^2-298^2)+F5/3/1000000*($B$29^3-298^3)+G5/4/1000000000*($B$29^4-298^4)</f>
        <v>-89894.523518914793</v>
      </c>
      <c r="E38" s="3">
        <f t="shared" ref="E38:E43" si="26" xml:space="preserve"> D38*E18</f>
        <v>-510478.54595173523</v>
      </c>
    </row>
    <row r="39" spans="1:14" ht="18" x14ac:dyDescent="0.25">
      <c r="A39" s="6" t="s">
        <v>10</v>
      </c>
      <c r="B39" s="3">
        <f t="shared" si="23"/>
        <v>1264.8712981804292</v>
      </c>
      <c r="C39" s="3">
        <f t="shared" si="24"/>
        <v>72047.069144357243</v>
      </c>
      <c r="D39" s="3">
        <f t="shared" si="25"/>
        <v>2755.1098909822422</v>
      </c>
      <c r="E39" s="3">
        <f t="shared" si="26"/>
        <v>93881.450878731761</v>
      </c>
    </row>
    <row r="40" spans="1:14" ht="18" x14ac:dyDescent="0.25">
      <c r="A40" s="6" t="s">
        <v>9</v>
      </c>
      <c r="B40" s="3">
        <f t="shared" si="23"/>
        <v>-56304.896686035492</v>
      </c>
      <c r="C40" s="3">
        <f t="shared" si="24"/>
        <v>-5067.440701743194</v>
      </c>
      <c r="D40" s="3">
        <f t="shared" si="25"/>
        <v>-54463.788279211498</v>
      </c>
      <c r="E40" s="3">
        <f t="shared" si="26"/>
        <v>-244616.53530999509</v>
      </c>
    </row>
    <row r="41" spans="1:14" ht="18" x14ac:dyDescent="0.25">
      <c r="A41" s="6" t="s">
        <v>8</v>
      </c>
      <c r="B41" s="3">
        <f t="shared" si="23"/>
        <v>-45863.082313141829</v>
      </c>
      <c r="C41" s="3">
        <f t="shared" si="24"/>
        <v>-19262.494571519568</v>
      </c>
      <c r="D41" s="3">
        <f t="shared" si="25"/>
        <v>-42523.493175895062</v>
      </c>
      <c r="E41" s="3">
        <f t="shared" si="26"/>
        <v>-410845.97034464328</v>
      </c>
    </row>
    <row r="42" spans="1:14" ht="18" x14ac:dyDescent="0.25">
      <c r="A42" s="6" t="s">
        <v>7</v>
      </c>
      <c r="B42" s="3">
        <f t="shared" si="23"/>
        <v>1272.6428053818267</v>
      </c>
      <c r="C42" s="3">
        <f t="shared" si="24"/>
        <v>4377.891250513484</v>
      </c>
      <c r="D42" s="3">
        <f t="shared" si="25"/>
        <v>2798.5523072581077</v>
      </c>
      <c r="E42" s="3">
        <f t="shared" si="26"/>
        <v>9627.0199369678903</v>
      </c>
    </row>
    <row r="43" spans="1:14" ht="18" x14ac:dyDescent="0.25">
      <c r="A43" s="6" t="s">
        <v>6</v>
      </c>
      <c r="B43" s="3">
        <f t="shared" si="23"/>
        <v>-16122.136836364098</v>
      </c>
      <c r="C43" s="3">
        <f t="shared" si="24"/>
        <v>-380643.65070655633</v>
      </c>
      <c r="D43" s="3">
        <f t="shared" si="25"/>
        <v>-13503.839561543969</v>
      </c>
      <c r="E43" s="3">
        <f t="shared" si="26"/>
        <v>-318825.6520480531</v>
      </c>
    </row>
  </sheetData>
  <mergeCells count="2">
    <mergeCell ref="A1:J1"/>
    <mergeCell ref="A26:C26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4B96-B918-4C4C-9AD1-3D8C9AFD0844}">
  <dimension ref="A1:AH43"/>
  <sheetViews>
    <sheetView topLeftCell="A3" zoomScale="90" zoomScaleNormal="70" workbookViewId="0">
      <selection activeCell="I16" sqref="I16"/>
    </sheetView>
  </sheetViews>
  <sheetFormatPr defaultRowHeight="15" x14ac:dyDescent="0.25"/>
  <cols>
    <col min="1" max="1" width="12" customWidth="1"/>
    <col min="7" max="7" width="13.42578125" customWidth="1"/>
    <col min="8" max="8" width="12.140625" customWidth="1"/>
    <col min="9" max="9" width="17.140625" customWidth="1"/>
    <col min="10" max="10" width="13" bestFit="1" customWidth="1"/>
    <col min="11" max="11" width="11" customWidth="1"/>
    <col min="14" max="14" width="13" bestFit="1" customWidth="1"/>
    <col min="15" max="15" width="12.140625" bestFit="1" customWidth="1"/>
  </cols>
  <sheetData>
    <row r="1" spans="1:32" ht="21" x14ac:dyDescent="0.3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</row>
    <row r="3" spans="1:32" ht="45" x14ac:dyDescent="0.25">
      <c r="A3" s="7" t="s">
        <v>22</v>
      </c>
      <c r="B3" s="7" t="s">
        <v>21</v>
      </c>
      <c r="C3" s="7" t="s">
        <v>20</v>
      </c>
      <c r="D3" s="7" t="s">
        <v>19</v>
      </c>
      <c r="E3" s="7" t="s">
        <v>18</v>
      </c>
      <c r="F3" s="7" t="s">
        <v>17</v>
      </c>
      <c r="G3" s="7" t="s">
        <v>16</v>
      </c>
      <c r="H3" s="12" t="s">
        <v>15</v>
      </c>
      <c r="I3" s="12" t="s">
        <v>14</v>
      </c>
      <c r="J3" s="12" t="s">
        <v>13</v>
      </c>
    </row>
    <row r="4" spans="1:32" x14ac:dyDescent="0.25">
      <c r="A4" s="6" t="s">
        <v>12</v>
      </c>
      <c r="B4" s="3">
        <v>5.4000000000000006E-2</v>
      </c>
      <c r="C4" s="9">
        <v>-26420</v>
      </c>
      <c r="D4" s="9">
        <v>7.3730000000000002</v>
      </c>
      <c r="E4" s="9">
        <v>-3.07</v>
      </c>
      <c r="F4" s="9">
        <v>6.6619999999999999</v>
      </c>
      <c r="G4" s="9">
        <v>-3.0369999999999999</v>
      </c>
      <c r="H4" s="8">
        <v>132.91999999999999</v>
      </c>
      <c r="I4" s="8">
        <v>34.99</v>
      </c>
      <c r="J4" s="8">
        <v>6.6000000000000003E-2</v>
      </c>
    </row>
    <row r="5" spans="1:32" ht="18" x14ac:dyDescent="0.25">
      <c r="A5" s="6" t="s">
        <v>11</v>
      </c>
      <c r="B5" s="3">
        <v>0.1008</v>
      </c>
      <c r="C5" s="9">
        <v>-94050</v>
      </c>
      <c r="D5" s="9">
        <v>4.7279999999999998</v>
      </c>
      <c r="E5" s="9">
        <v>17.54</v>
      </c>
      <c r="F5" s="9">
        <v>-13.38</v>
      </c>
      <c r="G5" s="9">
        <v>4.0970000000000004</v>
      </c>
      <c r="H5" s="8">
        <v>304.19</v>
      </c>
      <c r="I5" s="8">
        <v>73.819999999999993</v>
      </c>
      <c r="J5" s="8">
        <v>0.22800000000000001</v>
      </c>
    </row>
    <row r="6" spans="1:32" ht="18" x14ac:dyDescent="0.25">
      <c r="A6" s="6" t="s">
        <v>10</v>
      </c>
      <c r="B6" s="3">
        <v>0.5696</v>
      </c>
      <c r="C6" s="9">
        <v>0</v>
      </c>
      <c r="D6" s="9">
        <v>6.4829999999999997</v>
      </c>
      <c r="E6" s="9">
        <v>2.2149999999999999</v>
      </c>
      <c r="F6" s="9">
        <v>-3.298</v>
      </c>
      <c r="G6" s="9">
        <v>1.8260000000000001</v>
      </c>
      <c r="H6" s="8">
        <v>33.18</v>
      </c>
      <c r="I6" s="8">
        <v>13.13</v>
      </c>
      <c r="J6" s="8">
        <v>-0.22</v>
      </c>
    </row>
    <row r="7" spans="1:32" ht="18" x14ac:dyDescent="0.25">
      <c r="A7" s="6" t="s">
        <v>9</v>
      </c>
      <c r="B7" s="3">
        <v>8.9999999999999998E-4</v>
      </c>
      <c r="C7" s="9">
        <v>-57800</v>
      </c>
      <c r="D7" s="9">
        <v>7.7009999999999996</v>
      </c>
      <c r="E7" s="9">
        <v>0.45950000000000002</v>
      </c>
      <c r="F7" s="9">
        <v>2.5209999999999999</v>
      </c>
      <c r="G7" s="9">
        <v>-0.85899999999999999</v>
      </c>
      <c r="H7" s="8">
        <v>647.13</v>
      </c>
      <c r="I7" s="8">
        <v>220.55</v>
      </c>
      <c r="J7" s="8">
        <v>0.34499999999999997</v>
      </c>
    </row>
    <row r="8" spans="1:32" ht="18" x14ac:dyDescent="0.25">
      <c r="A8" s="6" t="s">
        <v>8</v>
      </c>
      <c r="B8" s="3">
        <v>4.1999999999999997E-3</v>
      </c>
      <c r="C8" s="11">
        <v>-48080</v>
      </c>
      <c r="D8" s="10">
        <v>5.0620000000000003</v>
      </c>
      <c r="E8" s="10">
        <v>16.940000000000001</v>
      </c>
      <c r="F8" s="10">
        <v>6.1790000000000003</v>
      </c>
      <c r="G8" s="10">
        <v>-6.8109999999999999</v>
      </c>
      <c r="H8" s="8">
        <v>512.58000000000004</v>
      </c>
      <c r="I8" s="8">
        <v>80.959999999999994</v>
      </c>
      <c r="J8" s="8">
        <v>0.56599999999999995</v>
      </c>
    </row>
    <row r="9" spans="1:32" ht="18.75" thickBot="1" x14ac:dyDescent="0.3">
      <c r="A9" s="6" t="s">
        <v>7</v>
      </c>
      <c r="B9" s="3">
        <v>3.44E-2</v>
      </c>
      <c r="C9" s="6">
        <v>0</v>
      </c>
      <c r="D9" s="6">
        <v>7.44</v>
      </c>
      <c r="E9" s="6">
        <v>-3.24</v>
      </c>
      <c r="F9" s="6">
        <v>6.4</v>
      </c>
      <c r="G9" s="6">
        <v>-2.79</v>
      </c>
      <c r="H9" s="8">
        <v>126.1</v>
      </c>
      <c r="I9" s="8">
        <v>33.94</v>
      </c>
      <c r="J9" s="8">
        <v>0.04</v>
      </c>
    </row>
    <row r="10" spans="1:32" ht="19.5" thickTop="1" thickBot="1" x14ac:dyDescent="0.3">
      <c r="A10" s="6" t="s">
        <v>6</v>
      </c>
      <c r="B10" s="3">
        <v>0.2361</v>
      </c>
      <c r="C10" s="9">
        <v>-17890</v>
      </c>
      <c r="D10" s="9">
        <v>4.5979999999999999</v>
      </c>
      <c r="E10" s="9">
        <v>12.45</v>
      </c>
      <c r="F10" s="9">
        <v>2.86</v>
      </c>
      <c r="G10" s="9">
        <v>-2.7090000000000001</v>
      </c>
      <c r="H10" s="8">
        <v>190.58</v>
      </c>
      <c r="I10" s="8">
        <v>46.04</v>
      </c>
      <c r="J10" s="8">
        <v>1.0999999999999999E-2</v>
      </c>
      <c r="N10" s="26" t="s">
        <v>50</v>
      </c>
      <c r="O10" s="26">
        <f xml:space="preserve"> 0.00008314</f>
        <v>8.3139999999999993E-5</v>
      </c>
    </row>
    <row r="11" spans="1:32" ht="15.75" thickTop="1" x14ac:dyDescent="0.25"/>
    <row r="12" spans="1:32" x14ac:dyDescent="0.25">
      <c r="A12" s="7" t="s">
        <v>5</v>
      </c>
      <c r="B12" s="6">
        <v>430</v>
      </c>
      <c r="C12" s="1" t="s">
        <v>0</v>
      </c>
      <c r="E12" s="2" t="s">
        <v>4</v>
      </c>
      <c r="F12" s="1">
        <v>80</v>
      </c>
      <c r="G12" s="1" t="s">
        <v>3</v>
      </c>
    </row>
    <row r="13" spans="1:32" x14ac:dyDescent="0.25">
      <c r="A13" s="4" t="s">
        <v>2</v>
      </c>
      <c r="B13" s="5">
        <v>530</v>
      </c>
      <c r="C13" s="1" t="s">
        <v>0</v>
      </c>
      <c r="I13" s="16" t="s">
        <v>24</v>
      </c>
      <c r="J13" s="1">
        <v>100</v>
      </c>
      <c r="K13" s="18" t="s">
        <v>25</v>
      </c>
    </row>
    <row r="14" spans="1:32" x14ac:dyDescent="0.25">
      <c r="A14" s="4" t="s">
        <v>1</v>
      </c>
      <c r="B14" s="3">
        <v>480</v>
      </c>
      <c r="C14" s="1" t="s">
        <v>0</v>
      </c>
    </row>
    <row r="15" spans="1:32" x14ac:dyDescent="0.25">
      <c r="V15" s="32" t="s">
        <v>57</v>
      </c>
      <c r="W15" s="31"/>
      <c r="X15" s="31"/>
      <c r="Y15" s="31"/>
      <c r="Z15" s="31" t="s">
        <v>59</v>
      </c>
      <c r="AA15" s="31"/>
    </row>
    <row r="16" spans="1:32" ht="14.25" customHeight="1" x14ac:dyDescent="0.25">
      <c r="A16" s="7" t="s">
        <v>22</v>
      </c>
      <c r="B16" s="7" t="s">
        <v>83</v>
      </c>
      <c r="C16" s="7" t="s">
        <v>27</v>
      </c>
      <c r="D16" s="7" t="s">
        <v>28</v>
      </c>
      <c r="E16" s="7" t="s">
        <v>84</v>
      </c>
      <c r="F16" s="7" t="s">
        <v>85</v>
      </c>
      <c r="G16" s="7" t="s">
        <v>86</v>
      </c>
      <c r="H16" s="7" t="s">
        <v>87</v>
      </c>
      <c r="I16" s="7" t="s">
        <v>88</v>
      </c>
      <c r="K16" s="24" t="s">
        <v>46</v>
      </c>
      <c r="L16" s="24" t="s">
        <v>19</v>
      </c>
      <c r="M16" s="24" t="s">
        <v>47</v>
      </c>
      <c r="N16" s="24" t="s">
        <v>48</v>
      </c>
      <c r="O16" s="24" t="s">
        <v>49</v>
      </c>
      <c r="P16" s="27" t="s">
        <v>51</v>
      </c>
      <c r="Q16" s="27" t="s">
        <v>52</v>
      </c>
      <c r="R16" s="27" t="s">
        <v>53</v>
      </c>
      <c r="S16" s="27" t="s">
        <v>54</v>
      </c>
      <c r="T16" s="27" t="s">
        <v>55</v>
      </c>
      <c r="U16" s="28" t="s">
        <v>56</v>
      </c>
      <c r="V16" s="30" t="s">
        <v>58</v>
      </c>
      <c r="W16" s="30" t="s">
        <v>63</v>
      </c>
      <c r="X16" s="30" t="s">
        <v>64</v>
      </c>
      <c r="Y16" s="30" t="s">
        <v>60</v>
      </c>
      <c r="Z16" s="30" t="s">
        <v>61</v>
      </c>
      <c r="AA16" s="30" t="s">
        <v>62</v>
      </c>
      <c r="AB16" s="30" t="s">
        <v>58</v>
      </c>
      <c r="AC16" s="30" t="s">
        <v>65</v>
      </c>
      <c r="AD16" s="30" t="s">
        <v>66</v>
      </c>
      <c r="AE16" s="30" t="s">
        <v>67</v>
      </c>
      <c r="AF16" s="30" t="s">
        <v>68</v>
      </c>
    </row>
    <row r="17" spans="1:34" x14ac:dyDescent="0.25">
      <c r="A17" s="6" t="s">
        <v>12</v>
      </c>
      <c r="B17" s="3">
        <f xml:space="preserve"> $J$13*B4</f>
        <v>5.4</v>
      </c>
      <c r="C17" s="3">
        <v>-1</v>
      </c>
      <c r="D17" s="3">
        <v>1</v>
      </c>
      <c r="E17" s="3">
        <f t="shared" ref="E17:E23" si="0" xml:space="preserve"> B17+C17*$B$27+D17*$B$28</f>
        <v>4.4000000000000004</v>
      </c>
      <c r="F17" s="3">
        <f xml:space="preserve"> E17/$E$24</f>
        <v>4.5360824742268047E-2</v>
      </c>
      <c r="G17" s="3">
        <f xml:space="preserve"> F17*$F$12 / 1.015</f>
        <v>3.575237418109797</v>
      </c>
      <c r="H17" s="3">
        <f xml:space="preserve"> G17^(C17)</f>
        <v>0.27970170454545451</v>
      </c>
      <c r="I17" s="3">
        <f xml:space="preserve"> G17^(D17)</f>
        <v>3.575237418109797</v>
      </c>
      <c r="K17" s="3">
        <f xml:space="preserve"> 0.37464+1.54226*J4-0.26992*J4^2</f>
        <v>0.47525338847999998</v>
      </c>
      <c r="L17" s="3">
        <f xml:space="preserve"> 0.45724*($O$10^2*H4^2/I4)*(1+K17*(1-SQRT($B$13/H4)))^2</f>
        <v>4.4196143674495117E-7</v>
      </c>
      <c r="M17" s="3">
        <f xml:space="preserve"> 0.0778*($O$10*H4/I4)</f>
        <v>2.457174543126607E-5</v>
      </c>
      <c r="N17" s="3">
        <f xml:space="preserve"> L17*$F$12/($O$10*$B$13)^2</f>
        <v>1.8209691329374739E-2</v>
      </c>
      <c r="O17" s="3">
        <f xml:space="preserve"> M17*$F$12/($O$10*$B$13)</f>
        <v>4.4610809557447666E-2</v>
      </c>
      <c r="P17" s="1">
        <f xml:space="preserve"> O17-1</f>
        <v>-0.95538919044255233</v>
      </c>
      <c r="Q17" s="3">
        <f xml:space="preserve"> N17-3*O17^2-2*O17</f>
        <v>-7.6982300773633189E-2</v>
      </c>
      <c r="R17" s="3">
        <f xml:space="preserve"> O17^2 +O17^3-N17*O17</f>
        <v>1.2665563148294284E-3</v>
      </c>
      <c r="S17" s="3">
        <f xml:space="preserve"> Q17 - P17^2/3</f>
        <v>-0.38123846917845838</v>
      </c>
      <c r="T17" s="3">
        <f xml:space="preserve"> 2*P17^3/27 - P17*Q17/3 +R17</f>
        <v>-8.7845697338776896E-2</v>
      </c>
      <c r="U17" s="29">
        <f xml:space="preserve"> T17^2/4+S17^3/27</f>
        <v>-1.2301504204053292E-4</v>
      </c>
      <c r="V17" s="3">
        <f xml:space="preserve"> IF(U17&gt;0, (-T17/2 + SQRT(U17))^(1/3)+(-T17/2- SQRT(U17))^(1/3) - P17/3, 0)</f>
        <v>0</v>
      </c>
      <c r="W17" s="3">
        <f xml:space="preserve"> SQRT(-S17^3/27)</f>
        <v>4.5301563739837188E-2</v>
      </c>
      <c r="X17" s="3">
        <f xml:space="preserve"> IF(U17&lt;0, ACOS(-T17/(2*W17)), 0)</f>
        <v>0.24734509884645783</v>
      </c>
      <c r="Y17" s="3">
        <f xml:space="preserve"> IF(U17&lt;0, 2*W17^(1/3)*COS(X17/3) - (P17/3),0)</f>
        <v>1.0290053716137855</v>
      </c>
      <c r="Z17" s="3">
        <f xml:space="preserve"> IF(U17&lt;0, 2*W17^(1/3)*COS((2*PI()+X17)/3)-P17/3,0)</f>
        <v>-8.7657775376180413E-2</v>
      </c>
      <c r="AA17" s="3">
        <f xml:space="preserve"> IF(U17&lt;0,2*W17^(1/3)*COS((4*PI()+X17)/3)-P17/3,0)</f>
        <v>1.4041594204947105E-2</v>
      </c>
      <c r="AB17" s="1">
        <f xml:space="preserve"> MAX(V17,Y17,Z17,AA17)</f>
        <v>1.0290053716137855</v>
      </c>
      <c r="AC17" s="1">
        <f>AB17-1-LN(AB17-O17)+N17/(2*SQRT(2)*O17)*LN((AB17+O17*(1-SQRT(2)))/(AB17+O17*(1+SQRT(2))))</f>
        <v>2.7753211466680801E-2</v>
      </c>
      <c r="AD17" s="1">
        <f xml:space="preserve"> EXP(AC17)</f>
        <v>1.0281419194732224</v>
      </c>
      <c r="AE17" s="3">
        <f xml:space="preserve"> AD17^C17</f>
        <v>0.97262837071399522</v>
      </c>
      <c r="AF17" s="3">
        <f xml:space="preserve"> AD17^D17</f>
        <v>1.0281419194732224</v>
      </c>
    </row>
    <row r="18" spans="1:34" ht="18" x14ac:dyDescent="0.25">
      <c r="A18" s="6" t="s">
        <v>11</v>
      </c>
      <c r="B18" s="3">
        <f t="shared" ref="B18:B23" si="1" xml:space="preserve"> $J$13*B5</f>
        <v>10.08</v>
      </c>
      <c r="C18" s="3">
        <v>0</v>
      </c>
      <c r="D18" s="3">
        <v>-1</v>
      </c>
      <c r="E18" s="3">
        <f t="shared" si="0"/>
        <v>9.58</v>
      </c>
      <c r="F18" s="3">
        <f t="shared" ref="F18:F23" si="2" xml:space="preserve"> E18/$E$24</f>
        <v>9.8762886597938152E-2</v>
      </c>
      <c r="G18" s="3">
        <f t="shared" ref="G18:G23" si="3" xml:space="preserve"> F18*$F$12 / 1.015</f>
        <v>7.7842669239754212</v>
      </c>
      <c r="H18" s="3">
        <f t="shared" ref="H18:H23" si="4" xml:space="preserve"> G18^(C18)</f>
        <v>1</v>
      </c>
      <c r="I18" s="3">
        <f t="shared" ref="I18:I23" si="5" xml:space="preserve"> G18^(D18)</f>
        <v>0.12846424843423798</v>
      </c>
      <c r="K18" s="3">
        <f xml:space="preserve"> 0.37464+1.54226*J5-0.26992*J5^2</f>
        <v>0.71224375872000001</v>
      </c>
      <c r="L18" s="3">
        <f xml:space="preserve"> 0.45724*($O$10^2*H5^2/I5)*(1+K18*(1-SQRT($B$13/H5)))^2</f>
        <v>2.3617153009722543E-6</v>
      </c>
      <c r="M18" s="3">
        <f xml:space="preserve"> 0.0778*($O$10*H5/I5)</f>
        <v>2.6653884360335949E-5</v>
      </c>
      <c r="N18" s="3">
        <f xml:space="preserve"> L18*$F$12/($O$10*$B$13)^2</f>
        <v>9.7307373591927745E-2</v>
      </c>
      <c r="O18" s="3">
        <f xml:space="preserve"> M18*$F$12/($O$10*$B$13)</f>
        <v>4.839100105815778E-2</v>
      </c>
      <c r="P18" s="1">
        <f t="shared" ref="P18:P23" si="6" xml:space="preserve"> O18-1</f>
        <v>-0.95160899894184225</v>
      </c>
      <c r="Q18" s="3">
        <f xml:space="preserve"> N18-3*O18^2-2*O18</f>
        <v>-6.4996954746196905E-3</v>
      </c>
      <c r="R18" s="3">
        <f xml:space="preserve"> O18^2 +O18^3-N18*O18</f>
        <v>-2.2537955609688025E-3</v>
      </c>
      <c r="S18" s="3">
        <f t="shared" ref="S18:S23" si="7" xml:space="preserve"> Q18 - P18^2/3</f>
        <v>-0.30835292443031809</v>
      </c>
      <c r="T18" s="3">
        <f xml:space="preserve"> 2*P18^3/27 - P18*Q18/3 +R18</f>
        <v>-6.8148018247621997E-2</v>
      </c>
      <c r="U18" s="29">
        <f xml:space="preserve"> T18^2/4+S18^3/27</f>
        <v>7.5161556923048932E-5</v>
      </c>
      <c r="V18" s="3">
        <f t="shared" ref="V18:V23" si="8" xml:space="preserve"> IF(U18&gt;0, (-T18/2 + SQRT(U18))^(1/3)+(-T18/2- SQRT(U18))^(1/3) - P18/3, 0)</f>
        <v>0.96081514793913603</v>
      </c>
      <c r="W18" s="3">
        <f t="shared" ref="W18:W23" si="9" xml:space="preserve"> SQRT(-S18^3/27)</f>
        <v>3.2952640878183136E-2</v>
      </c>
      <c r="X18" s="3">
        <f t="shared" ref="X18:X23" si="10" xml:space="preserve"> IF(U18&lt;0, ACOS(-T18/(2*W18)), 0)</f>
        <v>0</v>
      </c>
      <c r="Y18" s="3">
        <f t="shared" ref="Y18:Y23" si="11" xml:space="preserve"> IF(U18&lt;0, 2*W18^(1/3)*COS(X18/3) - (P18/3),0)</f>
        <v>0</v>
      </c>
      <c r="Z18" s="3">
        <f t="shared" ref="Z18:Z23" si="12" xml:space="preserve"> IF(U18&lt;0, 2*W18^(1/3)*COS((2*PI()+X18)/3)-P18/3,0)</f>
        <v>0</v>
      </c>
      <c r="AA18" s="3">
        <f t="shared" ref="AA18:AA23" si="13" xml:space="preserve"> IF(U18&lt;0,2*W18^(1/3)*COS((4*PI()+X18)/3)-P18/3,0)</f>
        <v>0</v>
      </c>
      <c r="AB18" s="1">
        <f t="shared" ref="AB18:AB23" si="14" xml:space="preserve"> MAX(V18,Y18,Z18,AA18)</f>
        <v>0.96081514793913603</v>
      </c>
      <c r="AC18" s="1">
        <f t="shared" ref="AC18:AC23" si="15">AB18-1-LN(AB18-O18)+N18/(2*SQRT(2)*O18)*LN((AB18+O18*(1-SQRT(2)))/(AB18+O18*(1+SQRT(2))))</f>
        <v>-4.410244641581279E-2</v>
      </c>
      <c r="AD18" s="1">
        <f t="shared" ref="AD18:AD23" si="16" xml:space="preserve"> EXP(AC18)</f>
        <v>0.95685592599157843</v>
      </c>
      <c r="AE18" s="3">
        <f t="shared" ref="AE18:AE23" si="17" xml:space="preserve"> AD18^C18</f>
        <v>1</v>
      </c>
      <c r="AF18" s="3">
        <f t="shared" ref="AF18:AF23" si="18" xml:space="preserve"> AD18^D18</f>
        <v>1.0450894150691619</v>
      </c>
    </row>
    <row r="19" spans="1:34" ht="18" x14ac:dyDescent="0.25">
      <c r="A19" s="6" t="s">
        <v>10</v>
      </c>
      <c r="B19" s="3">
        <f t="shared" si="1"/>
        <v>56.96</v>
      </c>
      <c r="C19" s="3">
        <v>-2</v>
      </c>
      <c r="D19" s="3">
        <v>-1</v>
      </c>
      <c r="E19" s="3">
        <f t="shared" si="0"/>
        <v>53.46</v>
      </c>
      <c r="F19" s="3">
        <f t="shared" si="2"/>
        <v>0.55113402061855676</v>
      </c>
      <c r="G19" s="3">
        <f t="shared" si="3"/>
        <v>43.439134630034033</v>
      </c>
      <c r="H19" s="3">
        <f t="shared" si="4"/>
        <v>5.2995338465093545E-4</v>
      </c>
      <c r="I19" s="3">
        <f t="shared" si="5"/>
        <v>2.3020716423494198E-2</v>
      </c>
      <c r="K19" s="3">
        <f xml:space="preserve"> 0.37464+1.54226*J6-0.26992*J6^2</f>
        <v>2.2278671999999951E-2</v>
      </c>
      <c r="L19" s="3">
        <f xml:space="preserve"> 0.45724*($O$10^2*H6^2/I6)*(1+K19*(1-SQRT($B$13/H6)))^2</f>
        <v>2.3080063799599019E-7</v>
      </c>
      <c r="M19" s="3">
        <f xml:space="preserve"> 0.0778*($O$10*H6/I6)</f>
        <v>1.6345615274942876E-5</v>
      </c>
      <c r="N19" s="3">
        <f xml:space="preserve"> L19*$F$12/($O$10*$B$13)^2</f>
        <v>9.5094459088635678E-3</v>
      </c>
      <c r="O19" s="3">
        <f xml:space="preserve"> M19*$F$12/($O$10*$B$13)</f>
        <v>2.9676000517323133E-2</v>
      </c>
      <c r="P19" s="1">
        <f t="shared" si="6"/>
        <v>-0.97032399948267689</v>
      </c>
      <c r="Q19" s="3">
        <f xml:space="preserve"> N19-3*O19^2-2*O19</f>
        <v>-5.248455014589519E-2</v>
      </c>
      <c r="R19" s="3">
        <f xml:space="preserve"> O19^2 +O19^3-N19*O19</f>
        <v>6.2459730018781228E-4</v>
      </c>
      <c r="S19" s="3">
        <f t="shared" si="7"/>
        <v>-0.3663274381365812</v>
      </c>
      <c r="T19" s="3">
        <f xml:space="preserve"> 2*P19^3/27 - P19*Q19/3 +R19</f>
        <v>-8.4024250299198286E-2</v>
      </c>
      <c r="U19" s="29">
        <f xml:space="preserve"> T19^2/4+S19^3/27</f>
        <v>-5.5707291046022244E-5</v>
      </c>
      <c r="V19" s="3">
        <f t="shared" si="8"/>
        <v>0</v>
      </c>
      <c r="W19" s="3">
        <f t="shared" si="9"/>
        <v>4.2669965439775116E-2</v>
      </c>
      <c r="X19" s="3">
        <f t="shared" si="10"/>
        <v>0.17582216688063235</v>
      </c>
      <c r="Y19" s="3">
        <f t="shared" si="11"/>
        <v>1.021123789201722</v>
      </c>
      <c r="Z19" s="3">
        <f t="shared" si="12"/>
        <v>-6.0851707735708915E-2</v>
      </c>
      <c r="AA19" s="3">
        <f t="shared" si="13"/>
        <v>1.0051918016663774E-2</v>
      </c>
      <c r="AB19" s="1">
        <f t="shared" si="14"/>
        <v>1.021123789201722</v>
      </c>
      <c r="AC19" s="1">
        <f t="shared" si="15"/>
        <v>2.0658242099147611E-2</v>
      </c>
      <c r="AD19" s="1">
        <f t="shared" si="16"/>
        <v>1.0208731005646463</v>
      </c>
      <c r="AE19" s="3">
        <f t="shared" si="17"/>
        <v>0.95952540725935787</v>
      </c>
      <c r="AF19" s="3">
        <f t="shared" si="18"/>
        <v>0.97955367757941569</v>
      </c>
    </row>
    <row r="20" spans="1:34" ht="18" x14ac:dyDescent="0.25">
      <c r="A20" s="6" t="s">
        <v>9</v>
      </c>
      <c r="B20" s="3">
        <f t="shared" si="1"/>
        <v>0.09</v>
      </c>
      <c r="C20" s="3">
        <v>0</v>
      </c>
      <c r="D20" s="3">
        <v>1</v>
      </c>
      <c r="E20" s="3">
        <f t="shared" si="0"/>
        <v>0.59</v>
      </c>
      <c r="F20" s="3">
        <f t="shared" si="2"/>
        <v>6.0824742268041233E-3</v>
      </c>
      <c r="G20" s="3">
        <f t="shared" si="3"/>
        <v>0.47940683561017722</v>
      </c>
      <c r="H20" s="3">
        <f t="shared" si="4"/>
        <v>1</v>
      </c>
      <c r="I20" s="3">
        <f t="shared" si="5"/>
        <v>0.47940683561017722</v>
      </c>
      <c r="K20" s="3">
        <f xml:space="preserve"> 0.37464+1.54226*J7-0.26992*J7^2</f>
        <v>0.8745924719999999</v>
      </c>
      <c r="L20" s="3">
        <f xml:space="preserve"> 0.45724*($O$10^2*H7^2/I7)*(1+K20*(1-SQRT($B$13/H7)))^2</f>
        <v>7.0400500138261049E-6</v>
      </c>
      <c r="M20" s="3">
        <f xml:space="preserve"> 0.0778*($O$10*H7/I7)</f>
        <v>1.8979033334663337E-5</v>
      </c>
      <c r="N20" s="3">
        <f xml:space="preserve"> L20*$F$12/($O$10*$B$13)^2</f>
        <v>0.29006408033991943</v>
      </c>
      <c r="O20" s="3">
        <f xml:space="preserve"> M20*$F$12/($O$10*$B$13)</f>
        <v>3.4457057356608471E-2</v>
      </c>
      <c r="P20" s="1">
        <f t="shared" si="6"/>
        <v>-0.96554294264339158</v>
      </c>
      <c r="Q20" s="3">
        <f xml:space="preserve"> N20-3*O20^2-2*O20</f>
        <v>0.21758809922167266</v>
      </c>
      <c r="R20" s="3">
        <f xml:space="preserve"> O20^2 +O20^3-N20*O20</f>
        <v>-8.7665553733496555E-3</v>
      </c>
      <c r="S20" s="3">
        <f t="shared" si="7"/>
        <v>-9.31696254744806E-2</v>
      </c>
      <c r="T20" s="3">
        <f xml:space="preserve"> 2*P20^3/27 - P20*Q20/3 +R20</f>
        <v>-5.4140992716329057E-3</v>
      </c>
      <c r="U20" s="29">
        <f xml:space="preserve"> T20^2/4+S20^3/27</f>
        <v>-2.2626189849914625E-5</v>
      </c>
      <c r="V20" s="3">
        <f t="shared" si="8"/>
        <v>0</v>
      </c>
      <c r="W20" s="3">
        <f t="shared" si="9"/>
        <v>5.473052857472566E-3</v>
      </c>
      <c r="X20" s="3">
        <f t="shared" si="10"/>
        <v>1.0534054575146234</v>
      </c>
      <c r="Y20" s="3">
        <f t="shared" si="11"/>
        <v>0.65279903866303168</v>
      </c>
      <c r="Z20" s="3">
        <f t="shared" si="12"/>
        <v>5.1381438067973739E-2</v>
      </c>
      <c r="AA20" s="3">
        <f t="shared" si="13"/>
        <v>0.2613624659123861</v>
      </c>
      <c r="AB20" s="1">
        <f t="shared" si="14"/>
        <v>0.65279903866303168</v>
      </c>
      <c r="AC20" s="1">
        <f t="shared" si="15"/>
        <v>-0.28925791913999904</v>
      </c>
      <c r="AD20" s="1">
        <f t="shared" si="16"/>
        <v>0.74881904572966229</v>
      </c>
      <c r="AE20" s="3">
        <f t="shared" si="17"/>
        <v>1</v>
      </c>
      <c r="AF20" s="3">
        <f t="shared" si="18"/>
        <v>0.74881904572966229</v>
      </c>
    </row>
    <row r="21" spans="1:34" ht="18" x14ac:dyDescent="0.25">
      <c r="A21" s="6" t="s">
        <v>8</v>
      </c>
      <c r="B21" s="3">
        <f t="shared" si="1"/>
        <v>0.42</v>
      </c>
      <c r="C21" s="3">
        <v>1</v>
      </c>
      <c r="D21" s="3">
        <v>0</v>
      </c>
      <c r="E21" s="3">
        <f t="shared" si="0"/>
        <v>1.92</v>
      </c>
      <c r="F21" s="3">
        <f t="shared" si="2"/>
        <v>1.9793814432989689E-2</v>
      </c>
      <c r="G21" s="3">
        <f t="shared" si="3"/>
        <v>1.5601036006297293</v>
      </c>
      <c r="H21" s="3">
        <f t="shared" si="4"/>
        <v>1.5601036006297293</v>
      </c>
      <c r="I21" s="3">
        <f t="shared" si="5"/>
        <v>1</v>
      </c>
      <c r="K21" s="3">
        <f xml:space="preserve"> 0.37464+1.54226*J8-0.26992*J8^2</f>
        <v>1.1610886684799997</v>
      </c>
      <c r="L21" s="3">
        <f xml:space="preserve"> 0.45724*($O$10^2*H8^2/I8)*(1+K21*(1-SQRT($B$13/H8)))^2</f>
        <v>9.8594968004654832E-6</v>
      </c>
      <c r="M21" s="3">
        <f xml:space="preserve"> 0.0778*($O$10*H8/I8)</f>
        <v>4.0952533514822134E-5</v>
      </c>
      <c r="N21" s="3">
        <f xml:space="preserve"> L21*$F$12/($O$10*$B$13)^2</f>
        <v>0.40623090268177175</v>
      </c>
      <c r="O21" s="3">
        <f xml:space="preserve"> M21*$F$12/($O$10*$B$13)</f>
        <v>7.4350667462152284E-2</v>
      </c>
      <c r="P21" s="1">
        <f t="shared" si="6"/>
        <v>-0.92564933253784776</v>
      </c>
      <c r="Q21" s="3">
        <f xml:space="preserve"> N21-3*O21^2-2*O21</f>
        <v>0.24094550250126454</v>
      </c>
      <c r="R21" s="3">
        <f xml:space="preserve"> O21^2 +O21^3-N21*O21</f>
        <v>-2.4264504899063288E-2</v>
      </c>
      <c r="S21" s="3">
        <f t="shared" si="7"/>
        <v>-4.4663393107989807E-2</v>
      </c>
      <c r="T21" s="3">
        <f xml:space="preserve"> 2*P21^3/27 - P21*Q21/3 +R21</f>
        <v>-8.6705311735389215E-3</v>
      </c>
      <c r="U21" s="29">
        <f xml:space="preserve"> T21^2/4+S21^3/27</f>
        <v>1.5494699150085717E-5</v>
      </c>
      <c r="V21" s="3">
        <f t="shared" si="8"/>
        <v>0.58440311450733329</v>
      </c>
      <c r="W21" s="3">
        <f t="shared" si="9"/>
        <v>1.816543023917088E-3</v>
      </c>
      <c r="X21" s="3">
        <f t="shared" si="10"/>
        <v>0</v>
      </c>
      <c r="Y21" s="3">
        <f t="shared" si="11"/>
        <v>0</v>
      </c>
      <c r="Z21" s="3">
        <f t="shared" si="12"/>
        <v>0</v>
      </c>
      <c r="AA21" s="3">
        <f t="shared" si="13"/>
        <v>0</v>
      </c>
      <c r="AB21" s="1">
        <f t="shared" si="14"/>
        <v>0.58440311450733329</v>
      </c>
      <c r="AC21" s="1">
        <f t="shared" si="15"/>
        <v>-0.36433946094591518</v>
      </c>
      <c r="AD21" s="1">
        <f t="shared" si="16"/>
        <v>0.69465534635355852</v>
      </c>
      <c r="AE21" s="3">
        <f t="shared" si="17"/>
        <v>0.69465534635355852</v>
      </c>
      <c r="AF21" s="3">
        <f t="shared" si="18"/>
        <v>1</v>
      </c>
    </row>
    <row r="22" spans="1:34" ht="18" x14ac:dyDescent="0.25">
      <c r="A22" s="6" t="s">
        <v>7</v>
      </c>
      <c r="B22" s="3">
        <f t="shared" si="1"/>
        <v>3.44</v>
      </c>
      <c r="C22" s="3">
        <v>0</v>
      </c>
      <c r="D22" s="3">
        <v>0</v>
      </c>
      <c r="E22" s="3">
        <f t="shared" si="0"/>
        <v>3.44</v>
      </c>
      <c r="F22" s="3">
        <f t="shared" si="2"/>
        <v>3.5463917525773193E-2</v>
      </c>
      <c r="G22" s="3">
        <f t="shared" si="3"/>
        <v>2.7951856177949317</v>
      </c>
      <c r="H22" s="3">
        <f t="shared" si="4"/>
        <v>1</v>
      </c>
      <c r="I22" s="3">
        <f t="shared" si="5"/>
        <v>1</v>
      </c>
      <c r="K22" s="3">
        <f xml:space="preserve"> 0.37464+1.54226*J9-0.26992*J9^2</f>
        <v>0.43589852799999995</v>
      </c>
      <c r="L22" s="3">
        <f xml:space="preserve"> 0.45724*($O$10^2*H9^2/I9)*(1+K22*(1-SQRT($B$13/H9)))^2</f>
        <v>4.3539641170166632E-7</v>
      </c>
      <c r="M22" s="3">
        <f xml:space="preserve"> 0.0778*($O$10*H9/I9)</f>
        <v>2.403216326458456E-5</v>
      </c>
      <c r="N22" s="3">
        <f xml:space="preserve"> L22*$F$12/($O$10*$B$13)^2</f>
        <v>1.7939199223800332E-2</v>
      </c>
      <c r="O22" s="3">
        <f xml:space="preserve"> M22*$F$12/($O$10*$B$13)</f>
        <v>4.3631180440511001E-2</v>
      </c>
      <c r="P22" s="1">
        <f t="shared" si="6"/>
        <v>-0.95636881955948905</v>
      </c>
      <c r="Q22" s="3">
        <f xml:space="preserve"> N22-3*O22^2-2*O22</f>
        <v>-7.5034201377118956E-2</v>
      </c>
      <c r="R22" s="3">
        <f xml:space="preserve"> O22^2 +O22^3-N22*O22</f>
        <v>1.2040312698477773E-3</v>
      </c>
      <c r="S22" s="3">
        <f t="shared" si="7"/>
        <v>-0.37991464105232248</v>
      </c>
      <c r="T22" s="3">
        <f xml:space="preserve"> 2*P22^3/27 - P22*Q22/3 +R22</f>
        <v>-8.7511235862460832E-2</v>
      </c>
      <c r="U22" s="29">
        <f xml:space="preserve"> T22^2/4+S22^3/27</f>
        <v>-1.1637296647304309E-4</v>
      </c>
      <c r="V22" s="3">
        <f t="shared" si="8"/>
        <v>0</v>
      </c>
      <c r="W22" s="3">
        <f t="shared" si="9"/>
        <v>4.5065808181112825E-2</v>
      </c>
      <c r="X22" s="3">
        <f t="shared" si="10"/>
        <v>0.24172214061152508</v>
      </c>
      <c r="Y22" s="3">
        <f t="shared" si="11"/>
        <v>1.0282057992885116</v>
      </c>
      <c r="Z22" s="3">
        <f t="shared" si="12"/>
        <v>-8.5528369228540901E-2</v>
      </c>
      <c r="AA22" s="3">
        <f t="shared" si="13"/>
        <v>1.3691389499518036E-2</v>
      </c>
      <c r="AB22" s="1">
        <f t="shared" si="14"/>
        <v>1.0282057992885116</v>
      </c>
      <c r="AC22" s="1">
        <f t="shared" si="15"/>
        <v>2.6995990472844802E-2</v>
      </c>
      <c r="AD22" s="1">
        <f t="shared" si="16"/>
        <v>1.0273636835126441</v>
      </c>
      <c r="AE22" s="3">
        <f t="shared" si="17"/>
        <v>1</v>
      </c>
      <c r="AF22" s="3">
        <f t="shared" si="18"/>
        <v>1</v>
      </c>
    </row>
    <row r="23" spans="1:34" ht="18" x14ac:dyDescent="0.25">
      <c r="A23" s="6" t="s">
        <v>6</v>
      </c>
      <c r="B23" s="3">
        <f t="shared" si="1"/>
        <v>23.61</v>
      </c>
      <c r="C23" s="3">
        <v>0</v>
      </c>
      <c r="D23" s="3">
        <v>0</v>
      </c>
      <c r="E23" s="3">
        <f t="shared" si="0"/>
        <v>23.61</v>
      </c>
      <c r="F23" s="3">
        <f t="shared" si="2"/>
        <v>0.24340206185567009</v>
      </c>
      <c r="G23" s="3">
        <f t="shared" si="3"/>
        <v>19.184398963993704</v>
      </c>
      <c r="H23" s="3">
        <f t="shared" si="4"/>
        <v>1</v>
      </c>
      <c r="I23" s="3">
        <f t="shared" si="5"/>
        <v>1</v>
      </c>
      <c r="K23" s="3">
        <f xml:space="preserve"> 0.37464+1.54226*J10-0.26992*J10^2</f>
        <v>0.39157219967999995</v>
      </c>
      <c r="L23" s="3">
        <f xml:space="preserve"> 0.45724*($O$10^2*H10^2/I10)*(1+K23*(1-SQRT($B$13/H10)))^2</f>
        <v>1.3601071918823594E-6</v>
      </c>
      <c r="M23" s="3">
        <f xml:space="preserve"> 0.0778*($O$10*H10/I10)</f>
        <v>2.6775132262380539E-5</v>
      </c>
      <c r="N23" s="3">
        <f xml:space="preserve"> L23*$F$12/($O$10*$B$13)^2</f>
        <v>5.6039124864491599E-2</v>
      </c>
      <c r="O23" s="3">
        <f xml:space="preserve"> M23*$F$12/($O$10*$B$13)</f>
        <v>4.8611130600134417E-2</v>
      </c>
      <c r="P23" s="1">
        <f t="shared" si="6"/>
        <v>-0.95138886939986556</v>
      </c>
      <c r="Q23" s="3">
        <f xml:space="preserve"> N23-3*O23^2-2*O23</f>
        <v>-4.8272262390447213E-2</v>
      </c>
      <c r="R23" s="3">
        <f xml:space="preserve"> O23^2 +O23^3-N23*O23</f>
        <v>-2.4621305512025678E-4</v>
      </c>
      <c r="S23" s="3">
        <f t="shared" si="7"/>
        <v>-0.34998585599643206</v>
      </c>
      <c r="T23" s="3">
        <f xml:space="preserve"> 2*P23^3/27 - P23*Q23/3 +R23</f>
        <v>-7.9342989591098076E-2</v>
      </c>
      <c r="U23" s="29">
        <f xml:space="preserve"> T23^2/4+S23^3/27</f>
        <v>-1.3942955825297244E-5</v>
      </c>
      <c r="V23" s="3">
        <f t="shared" si="8"/>
        <v>0</v>
      </c>
      <c r="W23" s="3">
        <f t="shared" si="9"/>
        <v>3.9846837454665981E-2</v>
      </c>
      <c r="X23" s="3">
        <f t="shared" si="10"/>
        <v>9.3847184505048364E-2</v>
      </c>
      <c r="Y23" s="3">
        <f t="shared" si="11"/>
        <v>0.9999116534213891</v>
      </c>
      <c r="Z23" s="3">
        <f t="shared" si="12"/>
        <v>-4.2764914193759718E-2</v>
      </c>
      <c r="AA23" s="3">
        <f t="shared" si="13"/>
        <v>-5.7578698277639395E-3</v>
      </c>
      <c r="AB23" s="1">
        <f t="shared" si="14"/>
        <v>0.9999116534213891</v>
      </c>
      <c r="AC23" s="1">
        <f t="shared" si="15"/>
        <v>-3.6856560197481777E-3</v>
      </c>
      <c r="AD23" s="1">
        <f t="shared" si="16"/>
        <v>0.9963211276737205</v>
      </c>
      <c r="AE23" s="3">
        <f t="shared" si="17"/>
        <v>1</v>
      </c>
      <c r="AF23" s="3">
        <f t="shared" si="18"/>
        <v>1</v>
      </c>
    </row>
    <row r="24" spans="1:34" x14ac:dyDescent="0.25">
      <c r="A24" s="19" t="s">
        <v>26</v>
      </c>
      <c r="B24" s="20">
        <f t="shared" ref="B24:I24" si="19" xml:space="preserve"> SUM(B17:B23)</f>
        <v>100</v>
      </c>
      <c r="C24" s="20">
        <f t="shared" si="19"/>
        <v>-2</v>
      </c>
      <c r="D24" s="20">
        <f t="shared" si="19"/>
        <v>0</v>
      </c>
      <c r="E24" s="20">
        <f t="shared" si="19"/>
        <v>97</v>
      </c>
      <c r="F24" s="20">
        <f t="shared" si="19"/>
        <v>1</v>
      </c>
      <c r="G24" s="20">
        <f t="shared" si="19"/>
        <v>78.817733990147786</v>
      </c>
      <c r="H24" s="20">
        <f t="shared" si="19"/>
        <v>5.8403352585598345</v>
      </c>
      <c r="I24" s="20">
        <f t="shared" si="19"/>
        <v>7.2061292185777059</v>
      </c>
      <c r="M24" s="25"/>
      <c r="N24" s="25"/>
      <c r="O24" s="25"/>
      <c r="P24" s="25"/>
      <c r="Q24" s="25"/>
    </row>
    <row r="25" spans="1:34" x14ac:dyDescent="0.25">
      <c r="AG25" t="s">
        <v>69</v>
      </c>
      <c r="AH25">
        <f xml:space="preserve"> PRODUCT(AE17:AE23)</f>
        <v>0.64829518327226254</v>
      </c>
    </row>
    <row r="26" spans="1:34" ht="16.5" customHeight="1" x14ac:dyDescent="0.25">
      <c r="A26" s="23" t="s">
        <v>39</v>
      </c>
      <c r="B26" s="23"/>
      <c r="C26" s="23"/>
      <c r="AG26" t="s">
        <v>70</v>
      </c>
      <c r="AH26">
        <f xml:space="preserve"> PRODUCT(AF17:AF23)</f>
        <v>0.78815500362787649</v>
      </c>
    </row>
    <row r="27" spans="1:34" x14ac:dyDescent="0.25">
      <c r="A27" s="14" t="s">
        <v>31</v>
      </c>
      <c r="B27" s="15">
        <v>1.5</v>
      </c>
      <c r="C27" s="15" t="s">
        <v>25</v>
      </c>
      <c r="J27" s="17" t="s">
        <v>35</v>
      </c>
      <c r="K27" s="17" t="s">
        <v>36</v>
      </c>
      <c r="L27" s="17" t="s">
        <v>37</v>
      </c>
      <c r="Q27" t="s">
        <v>73</v>
      </c>
      <c r="R27" s="33">
        <f xml:space="preserve"> 1-(E17+E18)/(B17+B18)</f>
        <v>9.68992248062015E-2</v>
      </c>
    </row>
    <row r="28" spans="1:34" x14ac:dyDescent="0.25">
      <c r="A28" s="14" t="s">
        <v>32</v>
      </c>
      <c r="B28" s="15">
        <v>0.5</v>
      </c>
      <c r="C28" s="15" t="s">
        <v>25</v>
      </c>
      <c r="I28" s="16" t="s">
        <v>33</v>
      </c>
      <c r="J28" s="3">
        <f xml:space="preserve"> EXP(-(-22828+56.02*B13)/1.987/B13)</f>
        <v>1.4788237850626839E-3</v>
      </c>
      <c r="K28" s="3">
        <f xml:space="preserve"> PRODUCT(H17:H23)</f>
        <v>2.3125238602949904E-4</v>
      </c>
      <c r="L28" s="3">
        <f xml:space="preserve"> AH25</f>
        <v>0.64829518327226254</v>
      </c>
      <c r="M28" s="21" t="s">
        <v>44</v>
      </c>
    </row>
    <row r="29" spans="1:34" x14ac:dyDescent="0.25">
      <c r="I29" s="16" t="s">
        <v>34</v>
      </c>
      <c r="J29" s="3">
        <f xml:space="preserve"> EXP(-(8514-7.71*B13)/1.987/B13)</f>
        <v>1.4929680039997966E-2</v>
      </c>
      <c r="K29" s="3">
        <f xml:space="preserve"> PRODUCT(I17:I23)</f>
        <v>5.0688591630368473E-3</v>
      </c>
      <c r="L29" s="3">
        <f xml:space="preserve"> AH26</f>
        <v>0.78815500362787649</v>
      </c>
    </row>
    <row r="30" spans="1:34" x14ac:dyDescent="0.25">
      <c r="L30" s="13" t="s">
        <v>45</v>
      </c>
    </row>
    <row r="31" spans="1:34" x14ac:dyDescent="0.25">
      <c r="I31" s="21" t="s">
        <v>43</v>
      </c>
    </row>
    <row r="32" spans="1:34" x14ac:dyDescent="0.25">
      <c r="L32">
        <f xml:space="preserve"> LN(J28)-LN(K28*L28)</f>
        <v>2.2889017732687202</v>
      </c>
      <c r="N32" t="s">
        <v>71</v>
      </c>
    </row>
    <row r="33" spans="1:14" x14ac:dyDescent="0.25">
      <c r="L33">
        <f xml:space="preserve"> LN(J29) -LN(K29*L29)</f>
        <v>1.3182959088710478</v>
      </c>
      <c r="N33" t="s">
        <v>72</v>
      </c>
    </row>
    <row r="36" spans="1:14" x14ac:dyDescent="0.25">
      <c r="A36" s="7" t="s">
        <v>22</v>
      </c>
      <c r="B36" s="7" t="s">
        <v>74</v>
      </c>
      <c r="C36" s="7" t="s">
        <v>78</v>
      </c>
      <c r="D36" s="7" t="s">
        <v>75</v>
      </c>
      <c r="E36" s="7" t="s">
        <v>79</v>
      </c>
      <c r="H36" s="34" t="s">
        <v>80</v>
      </c>
      <c r="I36" s="35">
        <f xml:space="preserve"> SUM(C37:C43)-SUM(E37:E43)</f>
        <v>-52471.365945263067</v>
      </c>
      <c r="J36" s="35" t="s">
        <v>81</v>
      </c>
    </row>
    <row r="37" spans="1:14" x14ac:dyDescent="0.25">
      <c r="A37" s="6" t="s">
        <v>12</v>
      </c>
      <c r="B37" s="3">
        <f xml:space="preserve"> C4+D4*($B$12-298)+E4/2/1000*($B$12^2-298^2)+F4/3/1000000*($B$12^3-298^3)+G4/4/1000000000*($B$12^4-298^4)</f>
        <v>-25496.449318857151</v>
      </c>
      <c r="C37" s="3">
        <f xml:space="preserve"> B37*B17</f>
        <v>-137680.82632182862</v>
      </c>
      <c r="D37" s="3">
        <f xml:space="preserve"> C4+D4*($B$13-298)+E4/2/1000*($B$13^2-298^2)+F4/3/1000000*($B$13^3-298^3)+G4/4/1000000000*($B$13^4-298^4)</f>
        <v>-24786.412902590488</v>
      </c>
      <c r="E37" s="3">
        <f xml:space="preserve"> D37*E17</f>
        <v>-109060.21677139816</v>
      </c>
      <c r="I37" s="36">
        <f xml:space="preserve"> I36/J13</f>
        <v>-524.71365945263062</v>
      </c>
      <c r="J37" s="35" t="s">
        <v>82</v>
      </c>
    </row>
    <row r="38" spans="1:14" ht="18" x14ac:dyDescent="0.25">
      <c r="A38" s="6" t="s">
        <v>11</v>
      </c>
      <c r="B38" s="3">
        <f t="shared" ref="B38:B43" si="20" xml:space="preserve"> C5+D5*($B$12-298)+E5/2/1000*($B$12^2-298^2)+F5/3/1000000*($B$12^3-298^3)+G5/4/1000000000*($B$12^4-298^4)</f>
        <v>-92792.776000001089</v>
      </c>
      <c r="C38" s="3">
        <f t="shared" ref="C38:C43" si="21" xml:space="preserve"> B38*B18</f>
        <v>-935351.182080011</v>
      </c>
      <c r="D38" s="3">
        <f t="shared" ref="D38:D43" si="22" xml:space="preserve"> C5+D5*($B$13-298)+E5/2/1000*($B$13^2-298^2)+F5/3/1000000*($B$13^3-298^3)+G5/4/1000000000*($B$13^4-298^4)</f>
        <v>-91741.645017601099</v>
      </c>
      <c r="E38" s="3">
        <f t="shared" ref="E38:E43" si="23" xml:space="preserve"> D38*E18</f>
        <v>-878884.95926861849</v>
      </c>
    </row>
    <row r="39" spans="1:14" ht="18" x14ac:dyDescent="0.25">
      <c r="A39" s="6" t="s">
        <v>10</v>
      </c>
      <c r="B39" s="3">
        <f t="shared" si="20"/>
        <v>915.87673237209594</v>
      </c>
      <c r="C39" s="3">
        <f t="shared" si="21"/>
        <v>52168.338675914587</v>
      </c>
      <c r="D39" s="3">
        <f t="shared" si="22"/>
        <v>1614.6491982387624</v>
      </c>
      <c r="E39" s="3">
        <f t="shared" si="23"/>
        <v>86319.146137844247</v>
      </c>
    </row>
    <row r="40" spans="1:14" ht="18" x14ac:dyDescent="0.25">
      <c r="A40" s="6" t="s">
        <v>9</v>
      </c>
      <c r="B40" s="3">
        <f t="shared" si="20"/>
        <v>-56722.464124489663</v>
      </c>
      <c r="C40" s="3">
        <f t="shared" si="21"/>
        <v>-5105.0217712040694</v>
      </c>
      <c r="D40" s="3">
        <f t="shared" si="22"/>
        <v>-55881.61713395633</v>
      </c>
      <c r="E40" s="3">
        <f t="shared" si="23"/>
        <v>-32970.154109034236</v>
      </c>
    </row>
    <row r="41" spans="1:14" ht="18" x14ac:dyDescent="0.25">
      <c r="A41" s="6" t="s">
        <v>8</v>
      </c>
      <c r="B41" s="3">
        <f t="shared" si="20"/>
        <v>-46533.416632062654</v>
      </c>
      <c r="C41" s="3">
        <f t="shared" si="21"/>
        <v>-19544.034985466315</v>
      </c>
      <c r="D41" s="3">
        <f t="shared" si="22"/>
        <v>-45147.359086596</v>
      </c>
      <c r="E41" s="3">
        <f t="shared" si="23"/>
        <v>-86682.929446264316</v>
      </c>
    </row>
    <row r="42" spans="1:14" ht="18" x14ac:dyDescent="0.25">
      <c r="A42" s="6" t="s">
        <v>7</v>
      </c>
      <c r="B42" s="3">
        <f t="shared" si="20"/>
        <v>921.21820334016002</v>
      </c>
      <c r="C42" s="3">
        <f t="shared" si="21"/>
        <v>3168.9906194901505</v>
      </c>
      <c r="D42" s="3">
        <f t="shared" si="22"/>
        <v>1626.4975686734936</v>
      </c>
      <c r="E42" s="3">
        <f t="shared" si="23"/>
        <v>5595.1516362368175</v>
      </c>
    </row>
    <row r="43" spans="1:14" ht="18" x14ac:dyDescent="0.25">
      <c r="A43" s="6" t="s">
        <v>6</v>
      </c>
      <c r="B43" s="3">
        <f t="shared" si="20"/>
        <v>-16652.111285443261</v>
      </c>
      <c r="C43" s="3">
        <f t="shared" si="21"/>
        <v>-393156.34744931536</v>
      </c>
      <c r="D43" s="3">
        <f t="shared" si="22"/>
        <v>-15558.86300490993</v>
      </c>
      <c r="E43" s="3">
        <f t="shared" si="23"/>
        <v>-367344.75554592343</v>
      </c>
    </row>
  </sheetData>
  <mergeCells count="2">
    <mergeCell ref="A1:J1"/>
    <mergeCell ref="A26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Reactor 1</vt:lpstr>
      <vt:lpstr>Reactor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porta</dc:creator>
  <cp:lastModifiedBy>Sina Ghanbari</cp:lastModifiedBy>
  <dcterms:created xsi:type="dcterms:W3CDTF">2021-09-27T17:06:30Z</dcterms:created>
  <dcterms:modified xsi:type="dcterms:W3CDTF">2024-03-04T22:43:12Z</dcterms:modified>
</cp:coreProperties>
</file>