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4_Ta\"/>
    </mc:Choice>
  </mc:AlternateContent>
  <xr:revisionPtr revIDLastSave="0" documentId="13_ncr:1_{6B0DAAA3-46A5-459F-9D88-33821EDBE624}" xr6:coauthVersionLast="47" xr6:coauthVersionMax="47" xr10:uidLastSave="{00000000-0000-0000-0000-000000000000}"/>
  <bookViews>
    <workbookView xWindow="-120" yWindow="-120" windowWidth="23280" windowHeight="14880" xr2:uid="{741D23CD-D838-4293-8B33-0654833314AA}"/>
  </bookViews>
  <sheets>
    <sheet name="Sheet1" sheetId="1" r:id="rId1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1" l="1"/>
  <c r="T30" i="1"/>
  <c r="U29" i="1"/>
  <c r="T29" i="1"/>
  <c r="U28" i="1"/>
  <c r="T28" i="1"/>
  <c r="U27" i="1"/>
  <c r="T27" i="1"/>
  <c r="U26" i="1"/>
  <c r="T26" i="1"/>
  <c r="U25" i="1"/>
  <c r="T25" i="1"/>
  <c r="U23" i="1"/>
  <c r="T23" i="1"/>
  <c r="U22" i="1"/>
  <c r="T22" i="1"/>
  <c r="U21" i="1"/>
  <c r="U20" i="1"/>
  <c r="T20" i="1"/>
  <c r="T21" i="1"/>
  <c r="Q34" i="1"/>
  <c r="Q35" i="1"/>
  <c r="Q36" i="1"/>
  <c r="Q37" i="1"/>
  <c r="Q38" i="1"/>
  <c r="Q39" i="1"/>
  <c r="Q33" i="1"/>
  <c r="O34" i="1"/>
  <c r="O38" i="1"/>
  <c r="M37" i="1"/>
  <c r="K34" i="1"/>
  <c r="M34" i="1" s="1"/>
  <c r="K35" i="1"/>
  <c r="O35" i="1" s="1"/>
  <c r="K36" i="1"/>
  <c r="O36" i="1" s="1"/>
  <c r="K37" i="1"/>
  <c r="O37" i="1" s="1"/>
  <c r="K38" i="1"/>
  <c r="M38" i="1" s="1"/>
  <c r="K39" i="1"/>
  <c r="M39" i="1" s="1"/>
  <c r="K33" i="1"/>
  <c r="M33" i="1" s="1"/>
  <c r="I36" i="1"/>
  <c r="J36" i="1" s="1"/>
  <c r="I37" i="1"/>
  <c r="J37" i="1" s="1"/>
  <c r="H34" i="1"/>
  <c r="I34" i="1" s="1"/>
  <c r="J34" i="1" s="1"/>
  <c r="H35" i="1"/>
  <c r="I35" i="1" s="1"/>
  <c r="J35" i="1" s="1"/>
  <c r="H36" i="1"/>
  <c r="H37" i="1"/>
  <c r="H38" i="1"/>
  <c r="I38" i="1" s="1"/>
  <c r="J38" i="1" s="1"/>
  <c r="H39" i="1"/>
  <c r="I39" i="1" s="1"/>
  <c r="J39" i="1" s="1"/>
  <c r="H33" i="1"/>
  <c r="I33" i="1" s="1"/>
  <c r="J33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18" i="1"/>
  <c r="E18" i="1" s="1"/>
  <c r="F18" i="1" s="1"/>
  <c r="P7" i="1"/>
  <c r="P8" i="1"/>
  <c r="P35" i="1" l="1"/>
  <c r="N35" i="1"/>
  <c r="L35" i="1"/>
  <c r="L39" i="1"/>
  <c r="N39" i="1"/>
  <c r="P39" i="1"/>
  <c r="L38" i="1"/>
  <c r="N38" i="1"/>
  <c r="P38" i="1"/>
  <c r="P34" i="1"/>
  <c r="L34" i="1"/>
  <c r="N34" i="1"/>
  <c r="L37" i="1"/>
  <c r="N37" i="1"/>
  <c r="P37" i="1"/>
  <c r="L33" i="1"/>
  <c r="N33" i="1"/>
  <c r="P33" i="1"/>
  <c r="L36" i="1"/>
  <c r="N36" i="1"/>
  <c r="P36" i="1"/>
  <c r="M36" i="1"/>
  <c r="M35" i="1"/>
  <c r="O33" i="1"/>
  <c r="O39" i="1"/>
  <c r="H24" i="1"/>
</calcChain>
</file>

<file path=xl/sharedStrings.xml><?xml version="1.0" encoding="utf-8"?>
<sst xmlns="http://schemas.openxmlformats.org/spreadsheetml/2006/main" count="87" uniqueCount="62">
  <si>
    <t>Antoine</t>
  </si>
  <si>
    <t>Specie</t>
  </si>
  <si>
    <t>Molar fraction [-]</t>
  </si>
  <si>
    <t>Tc [K]</t>
  </si>
  <si>
    <t>Pc [bar]</t>
  </si>
  <si>
    <t>ω [-]</t>
  </si>
  <si>
    <t>A</t>
  </si>
  <si>
    <t>B</t>
  </si>
  <si>
    <t>C</t>
  </si>
  <si>
    <t>H [bar]</t>
  </si>
  <si>
    <t>CpL [J/mol/K]</t>
  </si>
  <si>
    <t>CpV [J/mol/K]</t>
  </si>
  <si>
    <t>Dhvap @ Teb,n [kJ/mol/K]</t>
  </si>
  <si>
    <t>Data</t>
  </si>
  <si>
    <t>CO</t>
  </si>
  <si>
    <t>bar</t>
  </si>
  <si>
    <t>K</t>
  </si>
  <si>
    <t>F</t>
  </si>
  <si>
    <t>mol/s</t>
  </si>
  <si>
    <r>
      <t>CO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</si>
  <si>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</si>
  <si>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</si>
  <si>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CH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OH</t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</si>
  <si>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</si>
  <si>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CH</t>
    </r>
    <r>
      <rPr>
        <b/>
        <vertAlign val="subscript"/>
        <sz val="12"/>
        <color theme="1"/>
        <rFont val="Calibri"/>
        <family val="2"/>
        <scheme val="minor"/>
      </rPr>
      <t>4</t>
    </r>
  </si>
  <si>
    <t>P1</t>
  </si>
  <si>
    <t>P2</t>
  </si>
  <si>
    <t>T</t>
  </si>
  <si>
    <t>INDUSTRIAL ORGANIC CHEMISTRY - TUTORIAL 3</t>
  </si>
  <si>
    <t>Tdew</t>
  </si>
  <si>
    <t>ideal gas</t>
  </si>
  <si>
    <t>P0 or H</t>
  </si>
  <si>
    <t>xi = P/P0 * zi</t>
  </si>
  <si>
    <t>zi</t>
  </si>
  <si>
    <t>P/P0 or P/H</t>
  </si>
  <si>
    <t>sum xi</t>
  </si>
  <si>
    <t>Real mixture / Real Gas</t>
  </si>
  <si>
    <t>Phi L</t>
  </si>
  <si>
    <t>Phi V</t>
  </si>
  <si>
    <t>Ki = PhiV/PhiL</t>
  </si>
  <si>
    <t>S</t>
  </si>
  <si>
    <t>Alpha</t>
  </si>
  <si>
    <t>ai</t>
  </si>
  <si>
    <t>bi</t>
  </si>
  <si>
    <t>Ai</t>
  </si>
  <si>
    <t>Bi</t>
  </si>
  <si>
    <t>Liquid</t>
  </si>
  <si>
    <t>Vapor</t>
  </si>
  <si>
    <t>xi*sqrt(ai)</t>
  </si>
  <si>
    <t>xi*bi</t>
  </si>
  <si>
    <t>zi*sqrt(ai)</t>
  </si>
  <si>
    <t>zi*bi</t>
  </si>
  <si>
    <t>a_mix</t>
  </si>
  <si>
    <t>b_mix</t>
  </si>
  <si>
    <t>A_mix</t>
  </si>
  <si>
    <t>B_mix</t>
  </si>
  <si>
    <t>p</t>
  </si>
  <si>
    <t>q</t>
  </si>
  <si>
    <t>D</t>
  </si>
  <si>
    <t>Beta</t>
  </si>
  <si>
    <t>Gamma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</si>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</sst>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4" borderId="0" xfId="0" applyFont="1" applyFill="1"/>
    <xf numFmtId="0" fontId="9" fillId="4" borderId="0" xfId="0" applyFont="1" applyFill="1"/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564709</xdr:colOff>
      <xdr:row>1</xdr:row>
      <xdr:rowOff>133451</xdr:rowOff>
    </xdr:from>
    <xdr:to>
      <xdr:col>36</xdr:col>
      <xdr:colOff>448021</xdr:colOff>
      <xdr:row>4</xdr:row>
      <xdr:rowOff>135742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DD8D8D-0635-4D7D-B3DC-519C8353C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7444" y="335157"/>
          <a:ext cx="2908900" cy="1010820"/>
        </a:xfrm>
        <a:prstGeom prst="rect">
          <a:avLst/>
        </a:prstGeom>
      </xdr:spPr>
    </xdr:pic>
    <xdr:clientData/>
  </xdr:twoCellAnchor>
  <xdr:twoCellAnchor editAs="oneCell">
    <xdr:from>
      <xdr:col>32</xdr:col>
      <xdr:colOff>589072</xdr:colOff>
      <xdr:row>4</xdr:row>
      <xdr:rowOff>152214</xdr:rowOff>
    </xdr:from>
    <xdr:to>
      <xdr:col>38</xdr:col>
      <xdr:colOff>238695</xdr:colOff>
      <xdr:row>20</xdr:row>
      <xdr:rowOff>84115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32EB3B-7709-464F-9AF6-51471ECDD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06925" y="1362449"/>
          <a:ext cx="3280329" cy="3753107"/>
        </a:xfrm>
        <a:prstGeom prst="rect">
          <a:avLst/>
        </a:prstGeom>
      </xdr:spPr>
    </xdr:pic>
    <xdr:clientData/>
  </xdr:twoCellAnchor>
  <xdr:twoCellAnchor editAs="oneCell">
    <xdr:from>
      <xdr:col>31</xdr:col>
      <xdr:colOff>258415</xdr:colOff>
      <xdr:row>6</xdr:row>
      <xdr:rowOff>59425</xdr:rowOff>
    </xdr:from>
    <xdr:to>
      <xdr:col>36</xdr:col>
      <xdr:colOff>563507</xdr:colOff>
      <xdr:row>26</xdr:row>
      <xdr:rowOff>24391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7B8B20-E56B-4FDF-89FC-C2C7B120A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59827" y="1706690"/>
          <a:ext cx="3330680" cy="4671436"/>
        </a:xfrm>
        <a:prstGeom prst="rect">
          <a:avLst/>
        </a:prstGeom>
      </xdr:spPr>
    </xdr:pic>
    <xdr:clientData/>
  </xdr:twoCellAnchor>
  <xdr:twoCellAnchor editAs="oneCell">
    <xdr:from>
      <xdr:col>6</xdr:col>
      <xdr:colOff>340845</xdr:colOff>
      <xdr:row>12</xdr:row>
      <xdr:rowOff>62566</xdr:rowOff>
    </xdr:from>
    <xdr:to>
      <xdr:col>16</xdr:col>
      <xdr:colOff>793921</xdr:colOff>
      <xdr:row>17</xdr:row>
      <xdr:rowOff>117773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BA6A4B-BA29-4D47-9E27-23ED3BDDF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4904" y="3076948"/>
          <a:ext cx="8868693" cy="1399913"/>
        </a:xfrm>
        <a:prstGeom prst="rect">
          <a:avLst/>
        </a:prstGeom>
      </xdr:spPr>
    </xdr:pic>
    <xdr:clientData/>
  </xdr:twoCellAnchor>
  <xdr:twoCellAnchor editAs="oneCell">
    <xdr:from>
      <xdr:col>22</xdr:col>
      <xdr:colOff>127764</xdr:colOff>
      <xdr:row>2</xdr:row>
      <xdr:rowOff>100852</xdr:rowOff>
    </xdr:from>
    <xdr:to>
      <xdr:col>30</xdr:col>
      <xdr:colOff>262930</xdr:colOff>
      <xdr:row>25</xdr:row>
      <xdr:rowOff>86733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0268D1-A714-4FA4-B71B-0E09B7B6F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83117" y="504264"/>
          <a:ext cx="4976107" cy="5745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4478-025D-4BD8-B6CB-63EBABDAE7AE}">
  <dimension ref="A1:U39"/>
  <sheetViews>
    <sheetView tabSelected="1" topLeftCell="G10" zoomScale="85" zoomScaleNormal="85" workbookViewId="0">
      <selection activeCell="S17" sqref="S17"/>
    </sheetView>
  </sheetViews>
  <sheetFormatPr defaultRowHeight="15" x14ac:dyDescent="0.25"/>
  <cols>
    <col min="3" max="3" width="12.7109375" customWidth="1"/>
    <col min="5" max="5" width="13.7109375" customWidth="1"/>
    <col min="6" max="6" width="16.42578125" customWidth="1"/>
    <col min="7" max="7" width="14.140625" customWidth="1"/>
    <col min="10" max="12" width="12.28515625" bestFit="1" customWidth="1"/>
    <col min="13" max="13" width="15.42578125" customWidth="1"/>
    <col min="14" max="14" width="13.5703125" customWidth="1"/>
    <col min="15" max="15" width="12.28515625" bestFit="1" customWidth="1"/>
    <col min="16" max="16" width="15.7109375" customWidth="1"/>
    <col min="17" max="17" width="14" customWidth="1"/>
    <col min="19" max="19" width="13.28515625" customWidth="1"/>
    <col min="22" max="22" width="12.28515625" bestFit="1" customWidth="1"/>
  </cols>
  <sheetData>
    <row r="1" spans="1:17" ht="15.75" x14ac:dyDescent="0.25">
      <c r="A1" s="16" t="s">
        <v>28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/>
      <c r="B3" s="1"/>
      <c r="C3" s="1"/>
      <c r="D3" s="1"/>
      <c r="E3" s="1"/>
      <c r="F3" s="1"/>
      <c r="G3" s="17" t="s">
        <v>0</v>
      </c>
      <c r="H3" s="18"/>
      <c r="I3" s="19"/>
      <c r="J3" s="1"/>
      <c r="K3" s="1"/>
      <c r="L3" s="1"/>
      <c r="M3" s="1"/>
      <c r="N3" s="1"/>
      <c r="O3" s="1"/>
      <c r="P3" s="1"/>
      <c r="Q3" s="1"/>
    </row>
    <row r="4" spans="1:17" ht="47.25" x14ac:dyDescent="0.25">
      <c r="A4" s="1"/>
      <c r="B4" s="3" t="s">
        <v>1</v>
      </c>
      <c r="C4" s="3" t="s">
        <v>2</v>
      </c>
      <c r="D4" s="4" t="s">
        <v>3</v>
      </c>
      <c r="E4" s="4" t="s">
        <v>4</v>
      </c>
      <c r="F4" s="2" t="s">
        <v>5</v>
      </c>
      <c r="G4" s="4" t="s">
        <v>6</v>
      </c>
      <c r="H4" s="4" t="s">
        <v>7</v>
      </c>
      <c r="I4" s="2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1"/>
      <c r="O4" s="20" t="s">
        <v>13</v>
      </c>
      <c r="P4" s="20"/>
      <c r="Q4" s="20"/>
    </row>
    <row r="5" spans="1:17" ht="15.75" x14ac:dyDescent="0.25">
      <c r="A5" s="1"/>
      <c r="B5" s="15" t="s">
        <v>14</v>
      </c>
      <c r="C5" s="5">
        <v>3.5999999999999997E-2</v>
      </c>
      <c r="D5" s="6">
        <v>132.91999999999999</v>
      </c>
      <c r="E5" s="6">
        <v>34.99</v>
      </c>
      <c r="F5" s="7">
        <v>6.6000000000000003E-2</v>
      </c>
      <c r="G5" s="8"/>
      <c r="H5" s="8"/>
      <c r="I5" s="9"/>
      <c r="J5" s="10">
        <v>2500</v>
      </c>
      <c r="K5" s="8"/>
      <c r="L5" s="5">
        <v>29.08</v>
      </c>
      <c r="M5" s="8"/>
      <c r="N5" s="1"/>
      <c r="O5" s="4" t="s">
        <v>25</v>
      </c>
      <c r="P5" s="8">
        <v>65</v>
      </c>
      <c r="Q5" s="8" t="s">
        <v>15</v>
      </c>
    </row>
    <row r="6" spans="1:17" ht="18.75" x14ac:dyDescent="0.25">
      <c r="A6" s="1"/>
      <c r="B6" s="15" t="s">
        <v>19</v>
      </c>
      <c r="C6" s="5">
        <v>8.7999999999999995E-2</v>
      </c>
      <c r="D6" s="6">
        <v>304.19</v>
      </c>
      <c r="E6" s="6">
        <v>73.819999999999993</v>
      </c>
      <c r="F6" s="7">
        <v>0.22800000000000001</v>
      </c>
      <c r="G6" s="8"/>
      <c r="H6" s="8"/>
      <c r="I6" s="9"/>
      <c r="J6" s="10">
        <v>164</v>
      </c>
      <c r="K6" s="8"/>
      <c r="L6" s="11">
        <v>38.4</v>
      </c>
      <c r="M6" s="8"/>
      <c r="N6" s="1"/>
      <c r="O6" s="4" t="s">
        <v>26</v>
      </c>
      <c r="P6" s="8">
        <v>5</v>
      </c>
      <c r="Q6" s="8" t="s">
        <v>15</v>
      </c>
    </row>
    <row r="7" spans="1:17" ht="18.75" x14ac:dyDescent="0.25">
      <c r="A7" s="1"/>
      <c r="B7" s="15" t="s">
        <v>20</v>
      </c>
      <c r="C7" s="12">
        <v>0.51</v>
      </c>
      <c r="D7" s="6">
        <v>33.18</v>
      </c>
      <c r="E7" s="6">
        <v>13.13</v>
      </c>
      <c r="F7" s="7">
        <v>-0.22</v>
      </c>
      <c r="G7" s="8"/>
      <c r="H7" s="8"/>
      <c r="I7" s="9"/>
      <c r="J7" s="10">
        <v>6200</v>
      </c>
      <c r="K7" s="8"/>
      <c r="L7" s="5">
        <v>28.76</v>
      </c>
      <c r="M7" s="8"/>
      <c r="N7" s="1"/>
      <c r="O7" s="4" t="s">
        <v>27</v>
      </c>
      <c r="P7" s="5">
        <f>40+273.15</f>
        <v>313.14999999999998</v>
      </c>
      <c r="Q7" s="5" t="s">
        <v>16</v>
      </c>
    </row>
    <row r="8" spans="1:17" ht="18.75" x14ac:dyDescent="0.25">
      <c r="A8" s="1"/>
      <c r="B8" s="15" t="s">
        <v>21</v>
      </c>
      <c r="C8" s="5">
        <v>2.3E-2</v>
      </c>
      <c r="D8" s="6">
        <v>647.13</v>
      </c>
      <c r="E8" s="6">
        <v>220.55</v>
      </c>
      <c r="F8" s="7">
        <v>0.34499999999999997</v>
      </c>
      <c r="G8" s="10">
        <v>6.2096</v>
      </c>
      <c r="H8" s="10">
        <v>2354.7310000000002</v>
      </c>
      <c r="I8" s="13">
        <v>7.5590000000000002</v>
      </c>
      <c r="J8" s="8"/>
      <c r="K8" s="5">
        <v>75.55</v>
      </c>
      <c r="L8" s="5">
        <v>34.58</v>
      </c>
      <c r="M8" s="11">
        <v>39.5</v>
      </c>
      <c r="N8" s="1"/>
      <c r="O8" s="4" t="s">
        <v>17</v>
      </c>
      <c r="P8" s="14">
        <f>5330*1000/3600</f>
        <v>1480.5555555555557</v>
      </c>
      <c r="Q8" s="8" t="s">
        <v>18</v>
      </c>
    </row>
    <row r="9" spans="1:17" ht="18.75" x14ac:dyDescent="0.25">
      <c r="A9" s="1"/>
      <c r="B9" s="15" t="s">
        <v>22</v>
      </c>
      <c r="C9" s="5">
        <v>4.9000000000000002E-2</v>
      </c>
      <c r="D9" s="6">
        <v>512.58000000000004</v>
      </c>
      <c r="E9" s="6">
        <v>80.959999999999994</v>
      </c>
      <c r="F9" s="7">
        <v>0.56599999999999995</v>
      </c>
      <c r="G9" s="10">
        <v>5.2041000000000004</v>
      </c>
      <c r="H9" s="10">
        <v>1581.34</v>
      </c>
      <c r="I9" s="13">
        <v>-33.5</v>
      </c>
      <c r="J9" s="8"/>
      <c r="K9" s="5">
        <v>79.930000000000007</v>
      </c>
      <c r="L9" s="5">
        <v>47.61</v>
      </c>
      <c r="M9" s="5">
        <v>35.14</v>
      </c>
      <c r="N9" s="1"/>
      <c r="O9" s="1"/>
      <c r="P9" s="1"/>
      <c r="Q9" s="1"/>
    </row>
    <row r="10" spans="1:17" ht="18.75" x14ac:dyDescent="0.25">
      <c r="A10" s="1"/>
      <c r="B10" s="15" t="s">
        <v>23</v>
      </c>
      <c r="C10" s="5">
        <v>3.7999999999999999E-2</v>
      </c>
      <c r="D10" s="6">
        <v>126.1</v>
      </c>
      <c r="E10" s="6">
        <v>33.94</v>
      </c>
      <c r="F10" s="7">
        <v>0.04</v>
      </c>
      <c r="G10" s="8"/>
      <c r="H10" s="8"/>
      <c r="I10" s="9"/>
      <c r="J10" s="10">
        <v>3660</v>
      </c>
      <c r="K10" s="8"/>
      <c r="L10" s="5">
        <v>29.07</v>
      </c>
      <c r="M10" s="8"/>
      <c r="N10" s="1"/>
      <c r="O10" s="1"/>
      <c r="P10" s="1"/>
      <c r="Q10" s="1"/>
    </row>
    <row r="11" spans="1:17" ht="18.75" x14ac:dyDescent="0.25">
      <c r="A11" s="1"/>
      <c r="B11" s="15" t="s">
        <v>24</v>
      </c>
      <c r="C11" s="5">
        <v>0.25600000000000001</v>
      </c>
      <c r="D11" s="6">
        <v>190.58</v>
      </c>
      <c r="E11" s="6">
        <v>46.04</v>
      </c>
      <c r="F11" s="7">
        <v>1.0999999999999999E-2</v>
      </c>
      <c r="G11" s="8"/>
      <c r="H11" s="8"/>
      <c r="I11" s="9"/>
      <c r="J11" s="10">
        <v>1130</v>
      </c>
      <c r="K11" s="8"/>
      <c r="L11" s="5">
        <v>36.33</v>
      </c>
      <c r="M11" s="8"/>
      <c r="N11" s="1"/>
      <c r="O11" s="1"/>
      <c r="P11" s="1"/>
      <c r="Q11" s="1"/>
    </row>
    <row r="15" spans="1:17" ht="18.75" x14ac:dyDescent="0.3">
      <c r="B15" s="22" t="s">
        <v>29</v>
      </c>
      <c r="C15" s="23">
        <v>400.70749966277418</v>
      </c>
      <c r="D15" t="s">
        <v>16</v>
      </c>
      <c r="E15" t="s">
        <v>30</v>
      </c>
    </row>
    <row r="17" spans="2:21" ht="42.75" customHeight="1" x14ac:dyDescent="0.25">
      <c r="B17" s="3" t="s">
        <v>1</v>
      </c>
      <c r="C17" s="3" t="s">
        <v>33</v>
      </c>
      <c r="D17" s="3" t="s">
        <v>31</v>
      </c>
      <c r="E17" s="3" t="s">
        <v>34</v>
      </c>
      <c r="F17" s="3" t="s">
        <v>32</v>
      </c>
    </row>
    <row r="18" spans="2:21" ht="15.75" x14ac:dyDescent="0.25">
      <c r="B18" s="15" t="s">
        <v>14</v>
      </c>
      <c r="C18" s="5">
        <v>3.5999999999999997E-2</v>
      </c>
      <c r="D18" s="21">
        <f xml:space="preserve"> IF(G5=0, J5, 10^(G5-H5/($C$15+I5)))</f>
        <v>2500</v>
      </c>
      <c r="E18" s="21">
        <f xml:space="preserve"> $P$5/D18</f>
        <v>2.5999999999999999E-2</v>
      </c>
      <c r="F18" s="21">
        <f xml:space="preserve"> E18*C18</f>
        <v>9.3599999999999987E-4</v>
      </c>
    </row>
    <row r="19" spans="2:21" ht="18.75" x14ac:dyDescent="0.25">
      <c r="B19" s="15" t="s">
        <v>19</v>
      </c>
      <c r="C19" s="5">
        <v>8.7999999999999995E-2</v>
      </c>
      <c r="D19" s="21">
        <f t="shared" ref="D19:D24" si="0" xml:space="preserve"> IF(G6=0, J6, 10^(G6-H6/($C$15+I6)))</f>
        <v>164</v>
      </c>
      <c r="E19" s="21">
        <f t="shared" ref="E19:E24" si="1" xml:space="preserve"> $P$5/D19</f>
        <v>0.39634146341463417</v>
      </c>
      <c r="F19" s="21">
        <f t="shared" ref="F19:F24" si="2" xml:space="preserve"> E19*C19</f>
        <v>3.4878048780487801E-2</v>
      </c>
      <c r="S19" s="27"/>
      <c r="T19" s="27" t="s">
        <v>46</v>
      </c>
      <c r="U19" s="27" t="s">
        <v>47</v>
      </c>
    </row>
    <row r="20" spans="2:21" ht="18.75" x14ac:dyDescent="0.25">
      <c r="B20" s="15" t="s">
        <v>20</v>
      </c>
      <c r="C20" s="12">
        <v>0.51</v>
      </c>
      <c r="D20" s="21">
        <f t="shared" si="0"/>
        <v>6200</v>
      </c>
      <c r="E20" s="21">
        <f t="shared" si="1"/>
        <v>1.0483870967741936E-2</v>
      </c>
      <c r="F20" s="21">
        <f t="shared" si="2"/>
        <v>5.3467741935483877E-3</v>
      </c>
      <c r="S20" s="27" t="s">
        <v>52</v>
      </c>
      <c r="T20" s="27">
        <f xml:space="preserve"> SUM(N33:N39)^2</f>
        <v>9.4299684857460313E-6</v>
      </c>
      <c r="U20" s="27">
        <f xml:space="preserve"> SUM(P33:P39)^2</f>
        <v>8.4445142157558789E-7</v>
      </c>
    </row>
    <row r="21" spans="2:21" ht="18.75" x14ac:dyDescent="0.25">
      <c r="B21" s="15" t="s">
        <v>21</v>
      </c>
      <c r="C21" s="5">
        <v>2.3E-2</v>
      </c>
      <c r="D21" s="21">
        <f t="shared" si="0"/>
        <v>2.7667366533643323</v>
      </c>
      <c r="E21" s="21">
        <f t="shared" si="1"/>
        <v>23.49338160571244</v>
      </c>
      <c r="F21" s="21">
        <f t="shared" si="2"/>
        <v>0.54034777693138614</v>
      </c>
      <c r="S21" s="27" t="s">
        <v>53</v>
      </c>
      <c r="T21" s="27">
        <f xml:space="preserve"> SUM(O33:O39)</f>
        <v>3.1419140651213019E-5</v>
      </c>
      <c r="U21" s="27">
        <f xml:space="preserve"> SUM(Q33:Q39)</f>
        <v>2.4251667912181233E-5</v>
      </c>
    </row>
    <row r="22" spans="2:21" ht="18.75" x14ac:dyDescent="0.25">
      <c r="B22" s="15" t="s">
        <v>22</v>
      </c>
      <c r="C22" s="5">
        <v>4.9000000000000002E-2</v>
      </c>
      <c r="D22" s="21">
        <f t="shared" si="0"/>
        <v>7.9014440996474518</v>
      </c>
      <c r="E22" s="21">
        <f t="shared" si="1"/>
        <v>8.2263443467125441</v>
      </c>
      <c r="F22" s="21">
        <f t="shared" si="2"/>
        <v>0.40309087298891466</v>
      </c>
      <c r="S22" s="27" t="s">
        <v>54</v>
      </c>
      <c r="T22" s="27">
        <f xml:space="preserve"> T20*$P$5/(0.00008314*$C$30)^2</f>
        <v>0.5522663931647861</v>
      </c>
      <c r="U22" s="27">
        <f xml:space="preserve"> U20*$P$5/(0.00008314*$C$30)^2</f>
        <v>4.9455323366282798E-2</v>
      </c>
    </row>
    <row r="23" spans="2:21" ht="18.75" x14ac:dyDescent="0.25">
      <c r="B23" s="15" t="s">
        <v>23</v>
      </c>
      <c r="C23" s="5">
        <v>3.7999999999999999E-2</v>
      </c>
      <c r="D23" s="21">
        <f t="shared" si="0"/>
        <v>3660</v>
      </c>
      <c r="E23" s="21">
        <f t="shared" si="1"/>
        <v>1.7759562841530054E-2</v>
      </c>
      <c r="F23" s="21">
        <f t="shared" si="2"/>
        <v>6.7486338797814207E-4</v>
      </c>
      <c r="S23" s="27" t="s">
        <v>55</v>
      </c>
      <c r="T23" s="27">
        <f xml:space="preserve"> T21*$P$5/(0.00008314*$C$30)</f>
        <v>6.1301368250839393E-2</v>
      </c>
      <c r="U23" s="27">
        <f xml:space="preserve"> U21*$P$5/(0.00008314*$C$30)</f>
        <v>4.7317030146853831E-2</v>
      </c>
    </row>
    <row r="24" spans="2:21" ht="18.75" x14ac:dyDescent="0.25">
      <c r="B24" s="15" t="s">
        <v>24</v>
      </c>
      <c r="C24" s="5">
        <v>0.25600000000000001</v>
      </c>
      <c r="D24" s="21">
        <f t="shared" si="0"/>
        <v>1130</v>
      </c>
      <c r="E24" s="21">
        <f t="shared" si="1"/>
        <v>5.7522123893805309E-2</v>
      </c>
      <c r="F24" s="21">
        <f t="shared" si="2"/>
        <v>1.472566371681416E-2</v>
      </c>
      <c r="H24">
        <f xml:space="preserve"> SUM(F18:F24)</f>
        <v>0.99999999999912936</v>
      </c>
      <c r="I24" t="s">
        <v>35</v>
      </c>
      <c r="S24" s="27" t="s">
        <v>41</v>
      </c>
      <c r="T24" s="27">
        <v>-1</v>
      </c>
      <c r="U24" s="27">
        <v>-1</v>
      </c>
    </row>
    <row r="25" spans="2:21" x14ac:dyDescent="0.25">
      <c r="S25" s="27" t="s">
        <v>59</v>
      </c>
      <c r="T25" s="27">
        <f xml:space="preserve"> T22 - T23 - T23^2</f>
        <v>0.48720716716452173</v>
      </c>
      <c r="U25" s="27">
        <f xml:space="preserve"> U22 - U23 - U23^2</f>
        <v>-1.0060812248930675E-4</v>
      </c>
    </row>
    <row r="26" spans="2:21" x14ac:dyDescent="0.25">
      <c r="S26" s="27" t="s">
        <v>60</v>
      </c>
      <c r="T26" s="27">
        <f xml:space="preserve"> -T22*T23</f>
        <v>-3.3854685539957401E-2</v>
      </c>
      <c r="U26" s="27">
        <f xml:space="preserve"> -U22*U23</f>
        <v>-2.340079026644808E-3</v>
      </c>
    </row>
    <row r="27" spans="2:21" x14ac:dyDescent="0.25">
      <c r="S27" s="27" t="s">
        <v>56</v>
      </c>
      <c r="T27" s="27">
        <f xml:space="preserve"> T25 - T24^2/3</f>
        <v>0.15387383383118841</v>
      </c>
      <c r="U27" s="27">
        <f xml:space="preserve"> U25 - U24^2/3</f>
        <v>-0.33343394145582261</v>
      </c>
    </row>
    <row r="28" spans="2:21" x14ac:dyDescent="0.25">
      <c r="S28" s="27" t="s">
        <v>57</v>
      </c>
      <c r="T28" s="27">
        <f xml:space="preserve"> 2*T24^3/27 - (T24*T25)/3 +T26</f>
        <v>5.4473629440809114E-2</v>
      </c>
      <c r="U28" s="27">
        <f xml:space="preserve"> 2*U24^3/27 - (U24*U25)/3 +U26</f>
        <v>-7.6447689141548647E-2</v>
      </c>
    </row>
    <row r="29" spans="2:21" x14ac:dyDescent="0.25">
      <c r="S29" s="27" t="s">
        <v>58</v>
      </c>
      <c r="T29" s="27">
        <f xml:space="preserve"> T28^2 / 4 + T27^3 / 27</f>
        <v>8.7678092357601251E-4</v>
      </c>
      <c r="U29" s="27">
        <f xml:space="preserve"> U28^2 / 4 + U27^3 / 27</f>
        <v>8.8077730775177991E-5</v>
      </c>
    </row>
    <row r="30" spans="2:21" ht="18.75" x14ac:dyDescent="0.3">
      <c r="B30" s="22" t="s">
        <v>29</v>
      </c>
      <c r="C30" s="23">
        <v>400.70749966277418</v>
      </c>
      <c r="D30" t="s">
        <v>16</v>
      </c>
      <c r="E30" t="s">
        <v>36</v>
      </c>
      <c r="S30" s="28" t="s">
        <v>61</v>
      </c>
      <c r="T30" s="29">
        <f xml:space="preserve"> (-T28/2 +SQRT(T29))^(1/3) + (-T28/2 - SQRT(T29))^(1/3) - T24/3</f>
        <v>8.222239880148291E-2</v>
      </c>
      <c r="U30" s="29">
        <f xml:space="preserve"> (-U28/2 +SQRT(U29))^(1/3) + (-U28/2 - SQRT(U29))^(1/3) - U24/3</f>
        <v>1.0024291159956404</v>
      </c>
    </row>
    <row r="31" spans="2:21" x14ac:dyDescent="0.25">
      <c r="N31" s="26" t="s">
        <v>46</v>
      </c>
      <c r="O31" s="26"/>
      <c r="P31" s="26" t="s">
        <v>47</v>
      </c>
      <c r="Q31" s="26"/>
    </row>
    <row r="32" spans="2:21" ht="15.75" x14ac:dyDescent="0.25">
      <c r="B32" s="3" t="s">
        <v>1</v>
      </c>
      <c r="C32" s="3" t="s">
        <v>33</v>
      </c>
      <c r="D32" s="3" t="s">
        <v>37</v>
      </c>
      <c r="E32" s="3" t="s">
        <v>38</v>
      </c>
      <c r="F32" s="3" t="s">
        <v>39</v>
      </c>
      <c r="G32" s="3" t="s">
        <v>32</v>
      </c>
      <c r="H32" s="3" t="s">
        <v>40</v>
      </c>
      <c r="I32" s="3" t="s">
        <v>41</v>
      </c>
      <c r="J32" s="3" t="s">
        <v>42</v>
      </c>
      <c r="K32" s="3" t="s">
        <v>43</v>
      </c>
      <c r="L32" s="3" t="s">
        <v>44</v>
      </c>
      <c r="M32" s="24" t="s">
        <v>45</v>
      </c>
      <c r="N32" s="3" t="s">
        <v>48</v>
      </c>
      <c r="O32" s="3" t="s">
        <v>49</v>
      </c>
      <c r="P32" s="3" t="s">
        <v>50</v>
      </c>
      <c r="Q32" s="3" t="s">
        <v>51</v>
      </c>
    </row>
    <row r="33" spans="2:17" ht="15.75" x14ac:dyDescent="0.25">
      <c r="B33" s="15" t="s">
        <v>14</v>
      </c>
      <c r="C33" s="5">
        <v>3.5999999999999997E-2</v>
      </c>
      <c r="D33" s="21"/>
      <c r="E33" s="21"/>
      <c r="F33" s="21"/>
      <c r="G33" s="21">
        <v>9.3599999999999987E-4</v>
      </c>
      <c r="H33" s="21">
        <f xml:space="preserve"> 0.48+ 1.574*F5 - 0.176*F5^2</f>
        <v>0.58311734399999993</v>
      </c>
      <c r="I33" s="21">
        <f xml:space="preserve"> (1+H33*(1-SQRT($C$30/D5)))^2</f>
        <v>0.32565870720384821</v>
      </c>
      <c r="J33" s="21">
        <f xml:space="preserve"> 0.42748*I33*(0.00008314*D5)^2/E5</f>
        <v>4.8588697615767651E-7</v>
      </c>
      <c r="K33" s="21">
        <f xml:space="preserve"> 0.08664*0.00008314*D5/E5</f>
        <v>2.736370211008859E-5</v>
      </c>
      <c r="L33" s="21">
        <f xml:space="preserve"> J33*$P$5/(0.00008314*$C$30)^2</f>
        <v>2.8455985639183751E-2</v>
      </c>
      <c r="M33" s="25">
        <f xml:space="preserve"> K33*$P$5/(0.00008314*$C$30)</f>
        <v>5.3388868854758124E-2</v>
      </c>
      <c r="N33" s="21">
        <f xml:space="preserve"> G33*SQRT(J33)</f>
        <v>6.5244435491759424E-7</v>
      </c>
      <c r="O33" s="21">
        <f xml:space="preserve"> G33*K33</f>
        <v>2.5612425175042917E-8</v>
      </c>
      <c r="P33" s="21">
        <f xml:space="preserve"> C33*SQRT(J33)</f>
        <v>2.50940136506767E-5</v>
      </c>
      <c r="Q33" s="21">
        <f xml:space="preserve"> C33*K33</f>
        <v>9.8509327596318907E-7</v>
      </c>
    </row>
    <row r="34" spans="2:17" ht="18.75" x14ac:dyDescent="0.25">
      <c r="B34" s="15" t="s">
        <v>19</v>
      </c>
      <c r="C34" s="5">
        <v>8.7999999999999995E-2</v>
      </c>
      <c r="D34" s="21"/>
      <c r="E34" s="21"/>
      <c r="F34" s="21"/>
      <c r="G34" s="21">
        <v>3.4878048780487801E-2</v>
      </c>
      <c r="H34" s="21">
        <f t="shared" ref="H34:H39" si="3" xml:space="preserve"> 0.48+ 1.574*F6 - 0.176*F6^2</f>
        <v>0.82972281600000009</v>
      </c>
      <c r="I34" s="21">
        <f t="shared" ref="I34:I39" si="4" xml:space="preserve"> (1+H34*(1-SQRT($C$30/D6)))^2</f>
        <v>0.76986880765056787</v>
      </c>
      <c r="J34" s="21">
        <f t="shared" ref="J34:J39" si="5" xml:space="preserve"> 0.42748*I34*(0.00008314*D6)^2/E6</f>
        <v>2.851467262594982E-6</v>
      </c>
      <c r="K34" s="21">
        <f t="shared" ref="K34:K39" si="6" xml:space="preserve"> 0.08664*0.00008314*D6/E6</f>
        <v>2.9682423405906261E-5</v>
      </c>
      <c r="L34" s="21">
        <f t="shared" ref="L34:L39" si="7" xml:space="preserve"> J34*$P$5/(0.00008314*$C$30)^2</f>
        <v>0.16699626756135572</v>
      </c>
      <c r="M34" s="25">
        <f t="shared" ref="M34:M39" si="8" xml:space="preserve"> K34*$P$5/(0.00008314*$C$30)</f>
        <v>5.7912887815171503E-2</v>
      </c>
      <c r="N34" s="21">
        <f t="shared" ref="N34:N39" si="9" xml:space="preserve"> G34*SQRT(J34)</f>
        <v>5.8896078055163231E-5</v>
      </c>
      <c r="O34" s="21">
        <f t="shared" ref="O34:O39" si="10" xml:space="preserve"> G34*K34</f>
        <v>1.0352650114742913E-6</v>
      </c>
      <c r="P34" s="21">
        <f t="shared" ref="P34:P39" si="11" xml:space="preserve"> C34*SQRT(J34)</f>
        <v>1.4859933540071953E-4</v>
      </c>
      <c r="Q34" s="21">
        <f t="shared" ref="Q34:Q39" si="12" xml:space="preserve"> C34*K34</f>
        <v>2.6120532597197509E-6</v>
      </c>
    </row>
    <row r="35" spans="2:17" ht="18.75" x14ac:dyDescent="0.25">
      <c r="B35" s="15" t="s">
        <v>20</v>
      </c>
      <c r="C35" s="12">
        <v>0.51</v>
      </c>
      <c r="D35" s="21"/>
      <c r="E35" s="21"/>
      <c r="F35" s="21"/>
      <c r="G35" s="21">
        <v>5.3467741935483877E-3</v>
      </c>
      <c r="H35" s="21">
        <f t="shared" si="3"/>
        <v>0.12520159999999994</v>
      </c>
      <c r="I35" s="21">
        <f t="shared" si="4"/>
        <v>0.47624527897215924</v>
      </c>
      <c r="J35" s="21">
        <f t="shared" si="5"/>
        <v>1.1799254317557979E-7</v>
      </c>
      <c r="K35" s="21">
        <f t="shared" si="6"/>
        <v>1.8202880558111195E-5</v>
      </c>
      <c r="L35" s="21">
        <f t="shared" si="7"/>
        <v>6.9102369046530792E-3</v>
      </c>
      <c r="M35" s="25">
        <f t="shared" si="8"/>
        <v>3.5515340686943279E-2</v>
      </c>
      <c r="N35" s="21">
        <f t="shared" si="9"/>
        <v>1.8366192172053418E-6</v>
      </c>
      <c r="O35" s="21">
        <f t="shared" si="10"/>
        <v>9.7326692016352609E-8</v>
      </c>
      <c r="P35" s="21">
        <f t="shared" si="11"/>
        <v>1.7518521764112491E-4</v>
      </c>
      <c r="Q35" s="21">
        <f t="shared" si="12"/>
        <v>9.2834690846367098E-6</v>
      </c>
    </row>
    <row r="36" spans="2:17" ht="18.75" x14ac:dyDescent="0.25">
      <c r="B36" s="15" t="s">
        <v>21</v>
      </c>
      <c r="C36" s="5">
        <v>2.3E-2</v>
      </c>
      <c r="D36" s="21"/>
      <c r="E36" s="21"/>
      <c r="F36" s="21"/>
      <c r="G36" s="21">
        <v>0.54034777693138614</v>
      </c>
      <c r="H36" s="21">
        <f t="shared" si="3"/>
        <v>1.0020815999999999</v>
      </c>
      <c r="I36" s="21">
        <f t="shared" si="4"/>
        <v>1.4726949904612363</v>
      </c>
      <c r="J36" s="21">
        <f t="shared" si="5"/>
        <v>8.2627508130065222E-6</v>
      </c>
      <c r="K36" s="21">
        <f t="shared" si="6"/>
        <v>2.1135519898653364E-5</v>
      </c>
      <c r="L36" s="21">
        <f t="shared" si="7"/>
        <v>0.48390825441422508</v>
      </c>
      <c r="M36" s="25">
        <f t="shared" si="8"/>
        <v>4.1237165040994596E-2</v>
      </c>
      <c r="N36" s="21">
        <f t="shared" si="9"/>
        <v>1.5532297377061799E-3</v>
      </c>
      <c r="O36" s="21">
        <f t="shared" si="10"/>
        <v>1.1420531191526421E-5</v>
      </c>
      <c r="P36" s="21">
        <f t="shared" si="11"/>
        <v>6.6113502252417779E-5</v>
      </c>
      <c r="Q36" s="21">
        <f t="shared" si="12"/>
        <v>4.8611695766902737E-7</v>
      </c>
    </row>
    <row r="37" spans="2:17" ht="18.75" x14ac:dyDescent="0.25">
      <c r="B37" s="15" t="s">
        <v>22</v>
      </c>
      <c r="C37" s="5">
        <v>4.9000000000000002E-2</v>
      </c>
      <c r="D37" s="21"/>
      <c r="E37" s="21"/>
      <c r="F37" s="21"/>
      <c r="G37" s="21">
        <v>0.40309087298891466</v>
      </c>
      <c r="H37" s="21">
        <f t="shared" si="3"/>
        <v>1.314501344</v>
      </c>
      <c r="I37" s="21">
        <f t="shared" si="4"/>
        <v>1.3277177787675871</v>
      </c>
      <c r="J37" s="21">
        <f t="shared" si="5"/>
        <v>1.2731935380994781E-5</v>
      </c>
      <c r="K37" s="21">
        <f t="shared" si="6"/>
        <v>4.5605751975889334E-5</v>
      </c>
      <c r="L37" s="21">
        <f t="shared" si="7"/>
        <v>0.74564618550926565</v>
      </c>
      <c r="M37" s="25">
        <f t="shared" si="8"/>
        <v>8.898063213331403E-2</v>
      </c>
      <c r="N37" s="21">
        <f t="shared" si="9"/>
        <v>1.4383023088291834E-3</v>
      </c>
      <c r="O37" s="21">
        <f t="shared" si="10"/>
        <v>1.8383262377277152E-5</v>
      </c>
      <c r="P37" s="21">
        <f t="shared" si="11"/>
        <v>1.7484100448627167E-4</v>
      </c>
      <c r="Q37" s="21">
        <f t="shared" si="12"/>
        <v>2.2346818468185773E-6</v>
      </c>
    </row>
    <row r="38" spans="2:17" ht="18.75" x14ac:dyDescent="0.25">
      <c r="B38" s="15" t="s">
        <v>23</v>
      </c>
      <c r="C38" s="5">
        <v>3.7999999999999999E-2</v>
      </c>
      <c r="D38" s="21"/>
      <c r="E38" s="21"/>
      <c r="F38" s="21"/>
      <c r="G38" s="21">
        <v>6.7486338797814207E-4</v>
      </c>
      <c r="H38" s="21">
        <f t="shared" si="3"/>
        <v>0.54267840000000001</v>
      </c>
      <c r="I38" s="21">
        <f t="shared" si="4"/>
        <v>0.3309640878254631</v>
      </c>
      <c r="J38" s="21">
        <f t="shared" si="5"/>
        <v>4.5817886095910884E-7</v>
      </c>
      <c r="K38" s="21">
        <f t="shared" si="6"/>
        <v>2.6762810093105477E-5</v>
      </c>
      <c r="L38" s="21">
        <f t="shared" si="7"/>
        <v>2.6833259024006018E-2</v>
      </c>
      <c r="M38" s="25">
        <f t="shared" si="8"/>
        <v>5.2216478329473362E-2</v>
      </c>
      <c r="N38" s="21">
        <f t="shared" si="9"/>
        <v>4.5680767493076094E-7</v>
      </c>
      <c r="O38" s="21">
        <f t="shared" si="10"/>
        <v>1.8061240691248778E-8</v>
      </c>
      <c r="P38" s="21">
        <f t="shared" si="11"/>
        <v>2.5721786003793617E-5</v>
      </c>
      <c r="Q38" s="21">
        <f t="shared" si="12"/>
        <v>1.016986783538008E-6</v>
      </c>
    </row>
    <row r="39" spans="2:17" ht="18.75" x14ac:dyDescent="0.25">
      <c r="B39" s="15" t="s">
        <v>24</v>
      </c>
      <c r="C39" s="5">
        <v>0.25600000000000001</v>
      </c>
      <c r="D39" s="21"/>
      <c r="E39" s="21"/>
      <c r="F39" s="21"/>
      <c r="G39" s="21">
        <v>1.472566371681416E-2</v>
      </c>
      <c r="H39" s="21">
        <f t="shared" si="3"/>
        <v>0.49729270399999997</v>
      </c>
      <c r="I39" s="21">
        <f t="shared" si="4"/>
        <v>0.60249659500275388</v>
      </c>
      <c r="J39" s="21">
        <f t="shared" si="5"/>
        <v>1.4044612724331078E-6</v>
      </c>
      <c r="K39" s="21">
        <f t="shared" si="6"/>
        <v>2.9817448061859251E-5</v>
      </c>
      <c r="L39" s="21">
        <f t="shared" si="7"/>
        <v>8.2252317432309596E-2</v>
      </c>
      <c r="M39" s="25">
        <f t="shared" si="8"/>
        <v>5.817633219926218E-2</v>
      </c>
      <c r="N39" s="21">
        <f t="shared" si="9"/>
        <v>1.7451379488413773E-5</v>
      </c>
      <c r="O39" s="21">
        <f t="shared" si="10"/>
        <v>4.3908171305251149E-7</v>
      </c>
      <c r="P39" s="21">
        <f t="shared" si="11"/>
        <v>3.0338552033703944E-4</v>
      </c>
      <c r="Q39" s="21">
        <f t="shared" si="12"/>
        <v>7.6332667038359684E-6</v>
      </c>
    </row>
  </sheetData>
  <mergeCells count="5">
    <mergeCell ref="A1:G1"/>
    <mergeCell ref="G3:I3"/>
    <mergeCell ref="O4:Q4"/>
    <mergeCell ref="N31:O31"/>
    <mergeCell ref="P31:Q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Sina Ghanbari</cp:lastModifiedBy>
  <dcterms:created xsi:type="dcterms:W3CDTF">2021-10-19T06:12:41Z</dcterms:created>
  <dcterms:modified xsi:type="dcterms:W3CDTF">2024-03-18T12:19:02Z</dcterms:modified>
</cp:coreProperties>
</file>