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7_Ta\"/>
    </mc:Choice>
  </mc:AlternateContent>
  <xr:revisionPtr revIDLastSave="0" documentId="13_ncr:1_{714031EC-6A3E-4BBB-B7F4-0B5DC16D482F}" xr6:coauthVersionLast="47" xr6:coauthVersionMax="47" xr10:uidLastSave="{00000000-0000-0000-0000-000000000000}"/>
  <bookViews>
    <workbookView xWindow="-120" yWindow="-120" windowWidth="23280" windowHeight="14880" xr2:uid="{8B4CFB3B-6E69-415F-A796-98EB67215936}"/>
  </bookViews>
  <sheets>
    <sheet name="Sheet1" sheetId="1" r:id="rId1"/>
    <sheet name="Sheet1 (2)" sheetId="2" r:id="rId2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1" i="1" l="1"/>
  <c r="U50" i="1"/>
  <c r="V37" i="1"/>
  <c r="V38" i="1"/>
  <c r="V39" i="1"/>
  <c r="V40" i="1"/>
  <c r="V41" i="1"/>
  <c r="V42" i="1"/>
  <c r="V36" i="1"/>
  <c r="U37" i="1"/>
  <c r="U38" i="1"/>
  <c r="U39" i="1"/>
  <c r="U40" i="1"/>
  <c r="U41" i="1"/>
  <c r="U42" i="1"/>
  <c r="U36" i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36" i="1"/>
  <c r="T36" i="1" s="1"/>
  <c r="R37" i="1"/>
  <c r="R38" i="1"/>
  <c r="R39" i="1"/>
  <c r="R40" i="1"/>
  <c r="R41" i="1"/>
  <c r="R42" i="1"/>
  <c r="R36" i="1"/>
  <c r="Q37" i="1"/>
  <c r="Q38" i="1"/>
  <c r="Q39" i="1"/>
  <c r="Q40" i="1"/>
  <c r="Q41" i="1"/>
  <c r="Q42" i="1"/>
  <c r="Q36" i="1"/>
  <c r="P37" i="1"/>
  <c r="P38" i="1"/>
  <c r="P39" i="1"/>
  <c r="P40" i="1"/>
  <c r="P41" i="1"/>
  <c r="P42" i="1"/>
  <c r="P36" i="1"/>
  <c r="O37" i="1"/>
  <c r="O38" i="1"/>
  <c r="O39" i="1"/>
  <c r="O40" i="1"/>
  <c r="O41" i="1"/>
  <c r="O42" i="1"/>
  <c r="O36" i="1"/>
  <c r="N37" i="1"/>
  <c r="N38" i="1"/>
  <c r="N39" i="1"/>
  <c r="N40" i="1"/>
  <c r="N41" i="1"/>
  <c r="N42" i="1"/>
  <c r="N36" i="1"/>
  <c r="J37" i="1"/>
  <c r="J38" i="1"/>
  <c r="J39" i="1"/>
  <c r="J40" i="1"/>
  <c r="J41" i="1"/>
  <c r="J42" i="1"/>
  <c r="J36" i="1"/>
  <c r="H37" i="1"/>
  <c r="H38" i="1"/>
  <c r="H39" i="1"/>
  <c r="H40" i="1"/>
  <c r="H41" i="1"/>
  <c r="H42" i="1"/>
  <c r="H36" i="1"/>
  <c r="M37" i="1"/>
  <c r="M38" i="1"/>
  <c r="M39" i="1"/>
  <c r="M40" i="1"/>
  <c r="M41" i="1"/>
  <c r="M42" i="1"/>
  <c r="M36" i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36" i="1"/>
  <c r="L36" i="1" s="1"/>
  <c r="I37" i="1"/>
  <c r="I38" i="1"/>
  <c r="I39" i="1"/>
  <c r="I40" i="1"/>
  <c r="I41" i="1"/>
  <c r="I42" i="1"/>
  <c r="I36" i="1"/>
  <c r="G37" i="1"/>
  <c r="G38" i="1"/>
  <c r="G39" i="1"/>
  <c r="G40" i="1"/>
  <c r="G41" i="1"/>
  <c r="G42" i="1"/>
  <c r="G36" i="1"/>
  <c r="E25" i="2"/>
  <c r="G25" i="2" s="1"/>
  <c r="H25" i="2" s="1"/>
  <c r="E24" i="2"/>
  <c r="E23" i="2"/>
  <c r="G22" i="2"/>
  <c r="H22" i="2" s="1"/>
  <c r="E22" i="2"/>
  <c r="E21" i="2"/>
  <c r="C20" i="2"/>
  <c r="E20" i="2" s="1"/>
  <c r="E19" i="2"/>
  <c r="G19" i="2" s="1"/>
  <c r="K9" i="2"/>
  <c r="N27" i="2" s="1"/>
  <c r="K8" i="2"/>
  <c r="J27" i="2" s="1"/>
  <c r="K7" i="2"/>
  <c r="H27" i="2" s="1"/>
  <c r="K6" i="2"/>
  <c r="G27" i="2" s="1"/>
  <c r="K5" i="2"/>
  <c r="D27" i="2" s="1"/>
  <c r="C5" i="2"/>
  <c r="K4" i="2"/>
  <c r="C27" i="2" s="1"/>
  <c r="C31" i="1"/>
  <c r="F22" i="1"/>
  <c r="F25" i="1"/>
  <c r="N22" i="1"/>
  <c r="N25" i="1"/>
  <c r="M22" i="1"/>
  <c r="M25" i="1"/>
  <c r="L22" i="1"/>
  <c r="L25" i="1"/>
  <c r="K22" i="1"/>
  <c r="K25" i="1"/>
  <c r="K19" i="1"/>
  <c r="J22" i="1"/>
  <c r="J25" i="1"/>
  <c r="I22" i="1"/>
  <c r="I25" i="1"/>
  <c r="G20" i="1"/>
  <c r="H25" i="1"/>
  <c r="G25" i="1"/>
  <c r="H22" i="1"/>
  <c r="G22" i="1"/>
  <c r="E20" i="1"/>
  <c r="E21" i="1"/>
  <c r="E22" i="1"/>
  <c r="E23" i="1"/>
  <c r="E24" i="1"/>
  <c r="E25" i="1"/>
  <c r="G19" i="1"/>
  <c r="H19" i="1" s="1"/>
  <c r="E19" i="1"/>
  <c r="E27" i="1"/>
  <c r="N27" i="1"/>
  <c r="M27" i="1"/>
  <c r="L27" i="1"/>
  <c r="K27" i="1"/>
  <c r="J27" i="1"/>
  <c r="H27" i="1"/>
  <c r="G27" i="1"/>
  <c r="D27" i="1"/>
  <c r="C27" i="1"/>
  <c r="C20" i="1"/>
  <c r="K9" i="1"/>
  <c r="K8" i="1"/>
  <c r="K7" i="1"/>
  <c r="K6" i="1"/>
  <c r="K5" i="1"/>
  <c r="K4" i="1"/>
  <c r="C5" i="1"/>
  <c r="S47" i="1" l="1"/>
  <c r="K47" i="1"/>
  <c r="E27" i="2"/>
  <c r="I22" i="2"/>
  <c r="K22" i="2" s="1"/>
  <c r="J22" i="2"/>
  <c r="J25" i="2"/>
  <c r="I25" i="2"/>
  <c r="K25" i="2" s="1"/>
  <c r="G20" i="2"/>
  <c r="H19" i="2"/>
  <c r="K27" i="2"/>
  <c r="L27" i="2"/>
  <c r="M27" i="2"/>
  <c r="N29" i="1"/>
  <c r="J19" i="1"/>
  <c r="L19" i="1" s="1"/>
  <c r="M19" i="1" s="1"/>
  <c r="F19" i="1" s="1"/>
  <c r="I19" i="1"/>
  <c r="L22" i="2" l="1"/>
  <c r="M22" i="2" s="1"/>
  <c r="F22" i="2" s="1"/>
  <c r="L25" i="2"/>
  <c r="M25" i="2" s="1"/>
  <c r="F25" i="2" s="1"/>
  <c r="J19" i="2"/>
  <c r="I19" i="2"/>
  <c r="K19" i="2" s="1"/>
  <c r="N29" i="2"/>
  <c r="N30" i="1"/>
  <c r="G24" i="1" s="1"/>
  <c r="H24" i="1" s="1"/>
  <c r="N19" i="1"/>
  <c r="F29" i="1" s="1"/>
  <c r="I29" i="1" s="1"/>
  <c r="N22" i="2" l="1"/>
  <c r="N25" i="2"/>
  <c r="N30" i="2"/>
  <c r="G24" i="2" s="1"/>
  <c r="L19" i="2"/>
  <c r="I24" i="1"/>
  <c r="K24" i="1" s="1"/>
  <c r="J24" i="1"/>
  <c r="H20" i="1"/>
  <c r="H23" i="1"/>
  <c r="Q29" i="1"/>
  <c r="Q27" i="1"/>
  <c r="Q28" i="1"/>
  <c r="H21" i="1"/>
  <c r="Q28" i="2" l="1"/>
  <c r="H21" i="2"/>
  <c r="H23" i="2"/>
  <c r="Q29" i="2"/>
  <c r="H24" i="2"/>
  <c r="J24" i="2" s="1"/>
  <c r="G26" i="2"/>
  <c r="H20" i="2"/>
  <c r="J20" i="2" s="1"/>
  <c r="Q27" i="2"/>
  <c r="M19" i="2"/>
  <c r="N19" i="2" s="1"/>
  <c r="F29" i="2" s="1"/>
  <c r="I29" i="2" s="1"/>
  <c r="J21" i="2"/>
  <c r="I21" i="2"/>
  <c r="K21" i="2" s="1"/>
  <c r="J23" i="2"/>
  <c r="I23" i="2"/>
  <c r="K23" i="2" s="1"/>
  <c r="L24" i="1"/>
  <c r="M24" i="1" s="1"/>
  <c r="I23" i="1"/>
  <c r="K23" i="1" s="1"/>
  <c r="J23" i="1"/>
  <c r="J21" i="1"/>
  <c r="I21" i="1"/>
  <c r="K21" i="1" s="1"/>
  <c r="I20" i="1"/>
  <c r="K20" i="1" s="1"/>
  <c r="J20" i="1"/>
  <c r="I20" i="2" l="1"/>
  <c r="K20" i="2" s="1"/>
  <c r="L20" i="2" s="1"/>
  <c r="I24" i="2"/>
  <c r="K24" i="2" s="1"/>
  <c r="L24" i="2" s="1"/>
  <c r="L23" i="2"/>
  <c r="L21" i="2"/>
  <c r="F19" i="2"/>
  <c r="L20" i="1"/>
  <c r="M20" i="1" s="1"/>
  <c r="F20" i="1" s="1"/>
  <c r="F24" i="1"/>
  <c r="N24" i="1"/>
  <c r="L23" i="1"/>
  <c r="M23" i="1" s="1"/>
  <c r="F23" i="1" s="1"/>
  <c r="L21" i="1"/>
  <c r="M20" i="2" l="1"/>
  <c r="N20" i="2" s="1"/>
  <c r="M24" i="2"/>
  <c r="F24" i="2" s="1"/>
  <c r="M21" i="2"/>
  <c r="F21" i="2" s="1"/>
  <c r="M23" i="2"/>
  <c r="F23" i="2" s="1"/>
  <c r="N20" i="1"/>
  <c r="N23" i="1"/>
  <c r="M21" i="1"/>
  <c r="F21" i="1" s="1"/>
  <c r="N24" i="2" l="1"/>
  <c r="N21" i="2"/>
  <c r="F20" i="2"/>
  <c r="C31" i="2"/>
  <c r="N23" i="2"/>
  <c r="N21" i="1"/>
</calcChain>
</file>

<file path=xl/sharedStrings.xml><?xml version="1.0" encoding="utf-8"?>
<sst xmlns="http://schemas.openxmlformats.org/spreadsheetml/2006/main" count="193" uniqueCount="83">
  <si>
    <t>F0</t>
  </si>
  <si>
    <t>ϕ</t>
  </si>
  <si>
    <t>a</t>
  </si>
  <si>
    <t xml:space="preserve">b </t>
  </si>
  <si>
    <t xml:space="preserve">c </t>
  </si>
  <si>
    <t xml:space="preserve">d </t>
  </si>
  <si>
    <t>Temperatures</t>
  </si>
  <si>
    <t>CO</t>
  </si>
  <si>
    <t>K</t>
  </si>
  <si>
    <t>CO2</t>
  </si>
  <si>
    <t>FM</t>
  </si>
  <si>
    <t>H2</t>
  </si>
  <si>
    <t>FF</t>
  </si>
  <si>
    <t>CH4</t>
  </si>
  <si>
    <t>FA</t>
  </si>
  <si>
    <t>CH3OH</t>
  </si>
  <si>
    <t>FA2</t>
  </si>
  <si>
    <t>H2O</t>
  </si>
  <si>
    <t>separator</t>
  </si>
  <si>
    <t>N2</t>
  </si>
  <si>
    <t>M</t>
  </si>
  <si>
    <t>MeOH yield</t>
  </si>
  <si>
    <t>R conv CO</t>
  </si>
  <si>
    <t>OV CO conv</t>
  </si>
  <si>
    <t>PROCESSES OF THE ORGANIC CHEMICAL INDUSTRY  - TUTORIAL 5</t>
  </si>
  <si>
    <t>MATERIAL BALANCE</t>
  </si>
  <si>
    <t>F</t>
  </si>
  <si>
    <t>R'</t>
  </si>
  <si>
    <t>FA1</t>
  </si>
  <si>
    <t>P</t>
  </si>
  <si>
    <t>G</t>
  </si>
  <si>
    <t>R</t>
  </si>
  <si>
    <t>S</t>
  </si>
  <si>
    <t>T (K)</t>
  </si>
  <si>
    <t>REC FRAC</t>
  </si>
  <si>
    <t>OV CO Conv</t>
  </si>
  <si>
    <t>eq1</t>
  </si>
  <si>
    <t xml:space="preserve"> -- GS in REC fraction</t>
  </si>
  <si>
    <t>lambda M</t>
  </si>
  <si>
    <t>lambda R</t>
  </si>
  <si>
    <t>FM CO2 = 60</t>
  </si>
  <si>
    <t>FF H2 = 3000</t>
  </si>
  <si>
    <t>FF MeOH = 30</t>
  </si>
  <si>
    <t>First Guess</t>
  </si>
  <si>
    <t>nu M</t>
  </si>
  <si>
    <t>nu R</t>
  </si>
  <si>
    <t>eq2</t>
  </si>
  <si>
    <t>eq3</t>
  </si>
  <si>
    <t>FFCO2 ----&gt; FMCO2</t>
  </si>
  <si>
    <t>FFH2 ---&gt; FFH2</t>
  </si>
  <si>
    <t>FFM ---&gt; FFM</t>
  </si>
  <si>
    <t>BETA</t>
  </si>
  <si>
    <t xml:space="preserve"> 'R/F</t>
  </si>
  <si>
    <t>rec frac</t>
  </si>
  <si>
    <t>ov conv</t>
  </si>
  <si>
    <t>beta</t>
  </si>
  <si>
    <t>y inert</t>
  </si>
  <si>
    <t>ENERGY BALANCE</t>
  </si>
  <si>
    <t>h F0</t>
  </si>
  <si>
    <t>H F0</t>
  </si>
  <si>
    <t xml:space="preserve">h FM </t>
  </si>
  <si>
    <t>H FM</t>
  </si>
  <si>
    <t>h R'</t>
  </si>
  <si>
    <t>H R'</t>
  </si>
  <si>
    <t>h FF</t>
  </si>
  <si>
    <t>H FF</t>
  </si>
  <si>
    <t>T ref = T FA</t>
  </si>
  <si>
    <t>take a first guess</t>
  </si>
  <si>
    <t>J/mol</t>
  </si>
  <si>
    <t>J/s</t>
  </si>
  <si>
    <t>---&gt; GS in TR'</t>
  </si>
  <si>
    <t xml:space="preserve">h FA </t>
  </si>
  <si>
    <t>H FA</t>
  </si>
  <si>
    <t>h R</t>
  </si>
  <si>
    <t>H R</t>
  </si>
  <si>
    <t>H FA1</t>
  </si>
  <si>
    <t>h FA1</t>
  </si>
  <si>
    <t>---&gt; GS in T FA1</t>
  </si>
  <si>
    <t>h FA2</t>
  </si>
  <si>
    <t>H FA2</t>
  </si>
  <si>
    <t>Q</t>
  </si>
  <si>
    <t>W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</si>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</sst>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/>
    <xf numFmtId="0" fontId="6" fillId="3" borderId="3" applyNumberFormat="0" applyAlignment="0" applyProtection="0"/>
    <xf numFmtId="0" fontId="7" fillId="4" borderId="4" applyNumberFormat="0" applyAlignment="0" applyProtection="0"/>
    <xf numFmtId="0" fontId="5" fillId="5" borderId="5" applyNumberFormat="0" applyFont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3" xfId="1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5" borderId="5" xfId="3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quotePrefix="1"/>
    <xf numFmtId="0" fontId="7" fillId="4" borderId="4" xfId="2" applyAlignment="1">
      <alignment horizontal="center"/>
    </xf>
    <xf numFmtId="2" fontId="7" fillId="4" borderId="6" xfId="2" applyNumberFormat="1" applyBorder="1" applyAlignment="1">
      <alignment horizontal="center"/>
    </xf>
  </cellXfs>
  <cellStyles count="4">
    <cellStyle name="Check Cell" xfId="2" builtinId="2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rec fraction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(2)'!$H$33:$H$47</c:f>
              <c:numCache>
                <c:formatCode>General</c:formatCode>
                <c:ptCount val="15"/>
                <c:pt idx="0">
                  <c:v>0.99999000000000005</c:v>
                </c:pt>
                <c:pt idx="1">
                  <c:v>0.99999000000000005</c:v>
                </c:pt>
                <c:pt idx="2">
                  <c:v>0.99990000000000001</c:v>
                </c:pt>
                <c:pt idx="3">
                  <c:v>0.999</c:v>
                </c:pt>
                <c:pt idx="4">
                  <c:v>0.99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</c:v>
                </c:pt>
                <c:pt idx="14">
                  <c:v>0</c:v>
                </c:pt>
              </c:numCache>
            </c:numRef>
          </c:xVal>
          <c:yVal>
            <c:numRef>
              <c:f>'Sheet1 (2)'!$I$33:$I$47</c:f>
              <c:numCache>
                <c:formatCode>General</c:formatCode>
                <c:ptCount val="15"/>
                <c:pt idx="0">
                  <c:v>0.99998619066689087</c:v>
                </c:pt>
                <c:pt idx="1">
                  <c:v>0.99998619066689087</c:v>
                </c:pt>
                <c:pt idx="2">
                  <c:v>0.99986192382956629</c:v>
                </c:pt>
                <c:pt idx="3">
                  <c:v>0.99862095201864087</c:v>
                </c:pt>
                <c:pt idx="4">
                  <c:v>0.98637858149365909</c:v>
                </c:pt>
                <c:pt idx="5">
                  <c:v>0.87866108786610875</c:v>
                </c:pt>
                <c:pt idx="6">
                  <c:v>0.78358208955223885</c:v>
                </c:pt>
                <c:pt idx="7">
                  <c:v>0.70707070707070696</c:v>
                </c:pt>
                <c:pt idx="8">
                  <c:v>0.64417177914110413</c:v>
                </c:pt>
                <c:pt idx="9">
                  <c:v>0.59154929577464777</c:v>
                </c:pt>
                <c:pt idx="10">
                  <c:v>0.546875</c:v>
                </c:pt>
                <c:pt idx="11">
                  <c:v>0.50847457627118642</c:v>
                </c:pt>
                <c:pt idx="12">
                  <c:v>0.47511312217194568</c:v>
                </c:pt>
                <c:pt idx="13">
                  <c:v>0.44585987261146487</c:v>
                </c:pt>
                <c:pt idx="14">
                  <c:v>0.41999999999999993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A-41AA-BE98-68F2CF3D6FA3}"/>
            </c:ext>
          </c:extLst>
        </c:ser>
        <c:ser>
          <c:idx val="1"/>
          <c:order val="1"/>
          <c:tx>
            <c:v>y inert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(2)'!$H$33:$H$47</c:f>
              <c:numCache>
                <c:formatCode>General</c:formatCode>
                <c:ptCount val="15"/>
                <c:pt idx="0">
                  <c:v>0.99999000000000005</c:v>
                </c:pt>
                <c:pt idx="1">
                  <c:v>0.99999000000000005</c:v>
                </c:pt>
                <c:pt idx="2">
                  <c:v>0.99990000000000001</c:v>
                </c:pt>
                <c:pt idx="3">
                  <c:v>0.999</c:v>
                </c:pt>
                <c:pt idx="4">
                  <c:v>0.99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</c:v>
                </c:pt>
                <c:pt idx="14">
                  <c:v>0</c:v>
                </c:pt>
              </c:numCache>
            </c:numRef>
          </c:xVal>
          <c:yVal>
            <c:numRef>
              <c:f>'Sheet1 (2)'!$K$33:$K$47</c:f>
              <c:numCache>
                <c:formatCode>General</c:formatCode>
                <c:ptCount val="15"/>
                <c:pt idx="0">
                  <c:v>0.99837229279506834</c:v>
                </c:pt>
                <c:pt idx="1">
                  <c:v>0.99837229279506834</c:v>
                </c:pt>
                <c:pt idx="2">
                  <c:v>0.98395797139405916</c:v>
                </c:pt>
                <c:pt idx="3">
                  <c:v>0.85982167716090574</c:v>
                </c:pt>
                <c:pt idx="4">
                  <c:v>0.38023714415997545</c:v>
                </c:pt>
                <c:pt idx="5">
                  <c:v>5.7919438606453204E-2</c:v>
                </c:pt>
                <c:pt idx="6">
                  <c:v>2.9878604424318736E-2</c:v>
                </c:pt>
                <c:pt idx="7">
                  <c:v>2.0150854103409409E-2</c:v>
                </c:pt>
                <c:pt idx="8">
                  <c:v>1.5210016747660949E-2</c:v>
                </c:pt>
                <c:pt idx="9">
                  <c:v>1.2219421851874919E-2</c:v>
                </c:pt>
                <c:pt idx="10">
                  <c:v>1.0214210088475869E-2</c:v>
                </c:pt>
                <c:pt idx="11">
                  <c:v>8.7759874246021909E-3</c:v>
                </c:pt>
                <c:pt idx="12">
                  <c:v>7.6939095139882284E-3</c:v>
                </c:pt>
                <c:pt idx="13">
                  <c:v>6.8501718749795128E-3</c:v>
                </c:pt>
                <c:pt idx="14">
                  <c:v>6.1737824586305104E-3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A-41AA-BE98-68F2CF3D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3039"/>
        <c:axId val="54489679"/>
      </c:scatterChart>
      <c:valAx>
        <c:axId val="544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679"/>
        <c:crosses val="autoZero"/>
        <c:crossBetween val="midCat"/>
      </c:valAx>
      <c:valAx>
        <c:axId val="544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71693</xdr:colOff>
      <xdr:row>15</xdr:row>
      <xdr:rowOff>92177</xdr:rowOff>
    </xdr:from>
    <xdr:to>
      <xdr:col>18</xdr:col>
      <xdr:colOff>604274</xdr:colOff>
      <xdr:row>18</xdr:row>
      <xdr:rowOff>163871</xdr:rowOff>
    </xdr:to>
    <xdr:sp macro="[0]!Macro1" textlink="">
      <xdr:nvSpPr>
        <xdr:cNvPr id="2" name="Rectangle 1">
          <a:extLst>
            <a:ext uri="{FF2B5EF4-FFF2-40B4-BE49-F238E27FC236}">
              <a16:creationId xmlns:a16="http://schemas.microsoft.com/office/drawing/2014/main" id="{5B40E278-7DA6-BC0D-6EBA-F6DE833A9CD5}"/>
            </a:ext>
          </a:extLst>
        </xdr:cNvPr>
        <xdr:cNvSpPr/>
      </xdr:nvSpPr>
      <xdr:spPr>
        <a:xfrm>
          <a:off x="10764274" y="3021371"/>
          <a:ext cx="1147097" cy="65548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71693</xdr:colOff>
      <xdr:row>15</xdr:row>
      <xdr:rowOff>92177</xdr:rowOff>
    </xdr:from>
    <xdr:to>
      <xdr:col>18</xdr:col>
      <xdr:colOff>604274</xdr:colOff>
      <xdr:row>18</xdr:row>
      <xdr:rowOff>163871</xdr:rowOff>
    </xdr:to>
    <xdr:sp macro="[0]!Macro1" textlink="">
      <xdr:nvSpPr>
        <xdr:cNvPr id="2" name="Rectangle 1">
          <a:extLst>
            <a:ext uri="{FF2B5EF4-FFF2-40B4-BE49-F238E27FC236}">
              <a16:creationId xmlns:a16="http://schemas.microsoft.com/office/drawing/2014/main" id="{330A1FFC-6E6F-43DB-BEE4-A5CF44711D7E}"/>
            </a:ext>
          </a:extLst>
        </xdr:cNvPr>
        <xdr:cNvSpPr/>
      </xdr:nvSpPr>
      <xdr:spPr>
        <a:xfrm>
          <a:off x="10682543" y="2959202"/>
          <a:ext cx="1142181" cy="6431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460888</xdr:colOff>
      <xdr:row>30</xdr:row>
      <xdr:rowOff>112661</xdr:rowOff>
    </xdr:from>
    <xdr:to>
      <xdr:col>16</xdr:col>
      <xdr:colOff>522339</xdr:colOff>
      <xdr:row>34</xdr:row>
      <xdr:rowOff>81936</xdr:rowOff>
    </xdr:to>
    <xdr:sp macro="[0]!_xludf.table" textlink="">
      <xdr:nvSpPr>
        <xdr:cNvPr id="3" name="Oval 2">
          <a:extLst>
            <a:ext uri="{FF2B5EF4-FFF2-40B4-BE49-F238E27FC236}">
              <a16:creationId xmlns:a16="http://schemas.microsoft.com/office/drawing/2014/main" id="{5BB72202-5DE1-E354-6584-38B9800FC55A}"/>
            </a:ext>
          </a:extLst>
        </xdr:cNvPr>
        <xdr:cNvSpPr/>
      </xdr:nvSpPr>
      <xdr:spPr>
        <a:xfrm>
          <a:off x="9309920" y="5960806"/>
          <a:ext cx="1290484" cy="7476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274483</xdr:colOff>
      <xdr:row>36</xdr:row>
      <xdr:rowOff>113482</xdr:rowOff>
    </xdr:from>
    <xdr:to>
      <xdr:col>22</xdr:col>
      <xdr:colOff>10243</xdr:colOff>
      <xdr:row>55</xdr:row>
      <xdr:rowOff>71693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71F9C-FA16-A2B8-9884-AF8874680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704C-37BA-45CD-A2BD-B1128D15BA11}">
  <dimension ref="A1:V51"/>
  <sheetViews>
    <sheetView tabSelected="1" zoomScale="93" zoomScaleNormal="85" workbookViewId="0">
      <selection activeCell="N9" sqref="N9"/>
    </sheetView>
  </sheetViews>
  <sheetFormatPr defaultRowHeight="15" x14ac:dyDescent="0.25"/>
  <cols>
    <col min="5" max="5" width="11.140625" bestFit="1" customWidth="1"/>
    <col min="6" max="6" width="14" customWidth="1"/>
    <col min="11" max="11" width="9.140625" customWidth="1"/>
    <col min="13" max="13" width="10.85546875" customWidth="1"/>
    <col min="14" max="14" width="10.85546875" bestFit="1" customWidth="1"/>
    <col min="19" max="19" width="10.85546875" bestFit="1" customWidth="1"/>
    <col min="20" max="20" width="12" bestFit="1" customWidth="1"/>
    <col min="21" max="21" width="10.85546875" bestFit="1" customWidth="1"/>
  </cols>
  <sheetData>
    <row r="1" spans="1:12" ht="15.75" x14ac:dyDescent="0.25">
      <c r="A1" s="10" t="s">
        <v>24</v>
      </c>
      <c r="B1" s="10"/>
      <c r="C1" s="10"/>
      <c r="D1" s="10"/>
      <c r="E1" s="10"/>
      <c r="F1" s="10"/>
      <c r="G1" s="10"/>
    </row>
    <row r="3" spans="1:12" x14ac:dyDescent="0.25">
      <c r="C3" s="8" t="s">
        <v>0</v>
      </c>
      <c r="D3" s="9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11" t="s">
        <v>6</v>
      </c>
      <c r="K3" s="11"/>
      <c r="L3" s="11"/>
    </row>
    <row r="4" spans="1:12" x14ac:dyDescent="0.25">
      <c r="B4" s="2" t="s">
        <v>7</v>
      </c>
      <c r="C4" s="3">
        <v>148.5651089461</v>
      </c>
      <c r="D4" s="4">
        <v>0</v>
      </c>
      <c r="E4" s="5">
        <v>29.556000000000001</v>
      </c>
      <c r="F4" s="6">
        <v>-6.5807000000000001E-3</v>
      </c>
      <c r="G4" s="6">
        <v>2.0129999999999999E-5</v>
      </c>
      <c r="H4" s="6">
        <v>-1.2226999999999999E-8</v>
      </c>
      <c r="J4" s="1" t="s">
        <v>0</v>
      </c>
      <c r="K4" s="5">
        <f>550+273.15</f>
        <v>823.15</v>
      </c>
      <c r="L4" s="4" t="s">
        <v>8</v>
      </c>
    </row>
    <row r="5" spans="1:12" x14ac:dyDescent="0.25">
      <c r="B5" s="2" t="s">
        <v>9</v>
      </c>
      <c r="C5" s="3">
        <f>75.4233392836</f>
        <v>75.423339283600001</v>
      </c>
      <c r="D5" s="4">
        <v>9.4999999999999998E-3</v>
      </c>
      <c r="E5" s="5">
        <v>27.437000000000001</v>
      </c>
      <c r="F5" s="6">
        <v>4.2314999999999998E-2</v>
      </c>
      <c r="G5" s="6">
        <v>-1.9555000000000002E-5</v>
      </c>
      <c r="H5" s="6">
        <v>3.9968000000000001E-9</v>
      </c>
      <c r="J5" s="1" t="s">
        <v>10</v>
      </c>
      <c r="K5" s="5">
        <f>550+273.15</f>
        <v>823.15</v>
      </c>
      <c r="L5" s="4" t="s">
        <v>8</v>
      </c>
    </row>
    <row r="6" spans="1:12" x14ac:dyDescent="0.25">
      <c r="B6" s="2" t="s">
        <v>11</v>
      </c>
      <c r="C6" s="3">
        <v>696.71788031999995</v>
      </c>
      <c r="D6" s="4">
        <v>0</v>
      </c>
      <c r="E6" s="5">
        <v>25.399000000000001</v>
      </c>
      <c r="F6" s="6">
        <v>2.0178000000000001E-2</v>
      </c>
      <c r="G6" s="6">
        <v>-3.8549E-5</v>
      </c>
      <c r="H6" s="6">
        <v>3.1879999999999998E-8</v>
      </c>
      <c r="J6" s="1" t="s">
        <v>12</v>
      </c>
      <c r="K6" s="5">
        <f>245+273.15</f>
        <v>518.15</v>
      </c>
      <c r="L6" s="4" t="s">
        <v>8</v>
      </c>
    </row>
    <row r="7" spans="1:12" x14ac:dyDescent="0.25">
      <c r="B7" s="2" t="s">
        <v>13</v>
      </c>
      <c r="C7" s="3">
        <v>24.788823020500001</v>
      </c>
      <c r="D7" s="4">
        <v>0</v>
      </c>
      <c r="E7" s="5">
        <v>34.942</v>
      </c>
      <c r="F7" s="6">
        <v>-3.9956999999999999E-2</v>
      </c>
      <c r="G7" s="6">
        <v>1.9184000000000001E-4</v>
      </c>
      <c r="H7" s="6">
        <v>-1.5302999999999999E-7</v>
      </c>
      <c r="J7" s="1" t="s">
        <v>14</v>
      </c>
      <c r="K7" s="5">
        <f>264+273.15</f>
        <v>537.15</v>
      </c>
      <c r="L7" s="4" t="s">
        <v>8</v>
      </c>
    </row>
    <row r="8" spans="1:12" x14ac:dyDescent="0.25">
      <c r="B8" s="2" t="s">
        <v>15</v>
      </c>
      <c r="C8" s="3">
        <v>0</v>
      </c>
      <c r="D8" s="4">
        <v>0.88</v>
      </c>
      <c r="E8" s="5">
        <v>40.045999999999999</v>
      </c>
      <c r="F8" s="6">
        <v>-3.8287000000000002E-2</v>
      </c>
      <c r="G8" s="6">
        <v>-2.4529E-4</v>
      </c>
      <c r="H8" s="6">
        <v>-2.1679E-7</v>
      </c>
      <c r="J8" s="1" t="s">
        <v>16</v>
      </c>
      <c r="K8" s="5">
        <f>110+273.15</f>
        <v>383.15</v>
      </c>
      <c r="L8" s="4" t="s">
        <v>8</v>
      </c>
    </row>
    <row r="9" spans="1:12" x14ac:dyDescent="0.25">
      <c r="B9" s="2" t="s">
        <v>17</v>
      </c>
      <c r="C9" s="3">
        <v>1.7690102429999999</v>
      </c>
      <c r="D9" s="4">
        <v>0.95</v>
      </c>
      <c r="E9" s="5">
        <v>33.933</v>
      </c>
      <c r="F9" s="6">
        <v>-8.4186E-3</v>
      </c>
      <c r="G9" s="6">
        <v>2.9906000000000001E-5</v>
      </c>
      <c r="H9" s="6">
        <v>-1.7824999999999999E-8</v>
      </c>
      <c r="J9" s="1" t="s">
        <v>18</v>
      </c>
      <c r="K9" s="5">
        <f>40+273.15</f>
        <v>313.14999999999998</v>
      </c>
      <c r="L9" s="4" t="s">
        <v>8</v>
      </c>
    </row>
    <row r="10" spans="1:12" x14ac:dyDescent="0.25">
      <c r="B10" s="2" t="s">
        <v>19</v>
      </c>
      <c r="C10" s="3">
        <v>3.1706106663</v>
      </c>
      <c r="D10" s="4">
        <v>0</v>
      </c>
      <c r="E10" s="5">
        <v>29.341999999999999</v>
      </c>
      <c r="F10" s="6">
        <v>-3.5395000000000001E-3</v>
      </c>
      <c r="G10" s="6">
        <v>1.0076E-5</v>
      </c>
      <c r="H10" s="6">
        <v>-4.3115999999999999E-9</v>
      </c>
    </row>
    <row r="12" spans="1:12" x14ac:dyDescent="0.25">
      <c r="B12" s="7" t="s">
        <v>20</v>
      </c>
      <c r="C12" s="4">
        <v>3</v>
      </c>
      <c r="E12" s="7" t="s">
        <v>21</v>
      </c>
      <c r="F12" s="4">
        <v>0.3</v>
      </c>
      <c r="J12" s="21" t="s">
        <v>43</v>
      </c>
      <c r="K12" s="21"/>
    </row>
    <row r="13" spans="1:12" x14ac:dyDescent="0.25">
      <c r="B13" s="7" t="s">
        <v>22</v>
      </c>
      <c r="C13" s="4">
        <v>0.42</v>
      </c>
      <c r="E13" s="7" t="s">
        <v>23</v>
      </c>
      <c r="F13" s="4">
        <v>0.98</v>
      </c>
      <c r="J13" s="14" t="s">
        <v>40</v>
      </c>
      <c r="K13" s="14"/>
    </row>
    <row r="14" spans="1:12" x14ac:dyDescent="0.25">
      <c r="J14" s="14" t="s">
        <v>41</v>
      </c>
      <c r="K14" s="14"/>
    </row>
    <row r="15" spans="1:12" x14ac:dyDescent="0.25">
      <c r="J15" s="14" t="s">
        <v>42</v>
      </c>
      <c r="K15" s="14"/>
    </row>
    <row r="16" spans="1:12" x14ac:dyDescent="0.25">
      <c r="B16" s="15" t="s">
        <v>25</v>
      </c>
      <c r="C16" s="15"/>
    </row>
    <row r="18" spans="2:18" x14ac:dyDescent="0.25">
      <c r="C18" s="8" t="s">
        <v>0</v>
      </c>
      <c r="D18" s="8" t="s">
        <v>10</v>
      </c>
      <c r="E18" s="8" t="s">
        <v>26</v>
      </c>
      <c r="F18" s="8" t="s">
        <v>27</v>
      </c>
      <c r="G18" s="8" t="s">
        <v>12</v>
      </c>
      <c r="H18" s="8" t="s">
        <v>14</v>
      </c>
      <c r="I18" s="8" t="s">
        <v>28</v>
      </c>
      <c r="J18" s="8" t="s">
        <v>16</v>
      </c>
      <c r="K18" s="8" t="s">
        <v>29</v>
      </c>
      <c r="L18" s="8" t="s">
        <v>30</v>
      </c>
      <c r="M18" s="8" t="s">
        <v>31</v>
      </c>
      <c r="N18" s="8" t="s">
        <v>32</v>
      </c>
      <c r="O18" s="22" t="s">
        <v>44</v>
      </c>
      <c r="P18" s="22" t="s">
        <v>45</v>
      </c>
    </row>
    <row r="19" spans="2:18" x14ac:dyDescent="0.25">
      <c r="B19" s="2" t="s">
        <v>7</v>
      </c>
      <c r="C19" s="3">
        <v>148.5651089461</v>
      </c>
      <c r="D19" s="13">
        <v>0</v>
      </c>
      <c r="E19" s="18">
        <f xml:space="preserve"> C19+D19</f>
        <v>148.5651089461</v>
      </c>
      <c r="F19" s="13">
        <f>M19</f>
        <v>198.08681193005228</v>
      </c>
      <c r="G19" s="13">
        <f>E19/(1-$C$29*(1-$C$13))</f>
        <v>346.65192087615225</v>
      </c>
      <c r="H19" s="13">
        <f>G19*(1-$C$13)</f>
        <v>201.05811410816833</v>
      </c>
      <c r="I19" s="13">
        <f>H19</f>
        <v>201.05811410816833</v>
      </c>
      <c r="J19" s="13">
        <f>H19</f>
        <v>201.05811410816833</v>
      </c>
      <c r="K19" s="13">
        <f>I19*D4</f>
        <v>0</v>
      </c>
      <c r="L19" s="13">
        <f>J19-K19</f>
        <v>201.05811410816833</v>
      </c>
      <c r="M19" s="13">
        <f>$C$29*L19</f>
        <v>198.08681193005228</v>
      </c>
      <c r="N19" s="13">
        <f>L19-M19</f>
        <v>2.9713021781160478</v>
      </c>
      <c r="O19" s="13">
        <v>-1</v>
      </c>
      <c r="P19" s="13">
        <v>-1</v>
      </c>
    </row>
    <row r="20" spans="2:18" x14ac:dyDescent="0.25">
      <c r="B20" s="2" t="s">
        <v>9</v>
      </c>
      <c r="C20" s="3">
        <f>75.4233392836</f>
        <v>75.423339283600001</v>
      </c>
      <c r="D20" s="24">
        <v>57.704789740044859</v>
      </c>
      <c r="E20" s="18">
        <f t="shared" ref="E20:E25" si="0" xml:space="preserve"> C20+D20</f>
        <v>133.12812902364487</v>
      </c>
      <c r="F20" s="13">
        <f t="shared" ref="F20:F25" si="1">M20</f>
        <v>492.10857731340229</v>
      </c>
      <c r="G20" s="23">
        <f>(G21-G19*C12)/(C12+1)</f>
        <v>625.23670633704717</v>
      </c>
      <c r="H20" s="13">
        <f>G20+$N$29*O20+$N$30*P20</f>
        <v>504.28087427665787</v>
      </c>
      <c r="I20" s="13">
        <f t="shared" ref="I20:I25" si="2">H20</f>
        <v>504.28087427665787</v>
      </c>
      <c r="J20" s="13">
        <f t="shared" ref="J20:J25" si="3">H20</f>
        <v>504.28087427665787</v>
      </c>
      <c r="K20" s="13">
        <f t="shared" ref="K20:K25" si="4">I20*D5</f>
        <v>4.79066830562825</v>
      </c>
      <c r="L20" s="13">
        <f t="shared" ref="L20:L25" si="5">J20-K20</f>
        <v>499.49020597102964</v>
      </c>
      <c r="M20" s="13">
        <f t="shared" ref="M20:M25" si="6">$C$29*L20</f>
        <v>492.10857731340229</v>
      </c>
      <c r="N20" s="13">
        <f t="shared" ref="N20:N25" si="7">L20-M20</f>
        <v>7.3816286576273455</v>
      </c>
      <c r="O20" s="13">
        <v>0</v>
      </c>
      <c r="P20" s="13">
        <v>-1</v>
      </c>
    </row>
    <row r="21" spans="2:18" x14ac:dyDescent="0.25">
      <c r="B21" s="2" t="s">
        <v>11</v>
      </c>
      <c r="C21" s="3">
        <v>696.71788031999995</v>
      </c>
      <c r="D21" s="13">
        <v>0</v>
      </c>
      <c r="E21" s="18">
        <f t="shared" si="0"/>
        <v>696.71788031999995</v>
      </c>
      <c r="F21" s="13">
        <f t="shared" si="1"/>
        <v>2844.1847076566455</v>
      </c>
      <c r="G21" s="24">
        <v>3540.9025879766455</v>
      </c>
      <c r="H21" s="13">
        <f>G21+$N$29*O21+$N$30*P21</f>
        <v>2886.8474782595099</v>
      </c>
      <c r="I21" s="13">
        <f t="shared" si="2"/>
        <v>2886.8474782595099</v>
      </c>
      <c r="J21" s="13">
        <f t="shared" si="3"/>
        <v>2886.8474782595099</v>
      </c>
      <c r="K21" s="13">
        <f t="shared" si="4"/>
        <v>0</v>
      </c>
      <c r="L21" s="13">
        <f t="shared" si="5"/>
        <v>2886.8474782595099</v>
      </c>
      <c r="M21" s="13">
        <f t="shared" si="6"/>
        <v>2844.1847076566455</v>
      </c>
      <c r="N21" s="13">
        <f t="shared" si="7"/>
        <v>42.662770602864384</v>
      </c>
      <c r="O21" s="13">
        <v>-2</v>
      </c>
      <c r="P21" s="13">
        <v>-1</v>
      </c>
    </row>
    <row r="22" spans="2:18" x14ac:dyDescent="0.25">
      <c r="B22" s="2" t="s">
        <v>13</v>
      </c>
      <c r="C22" s="3">
        <v>24.788823020500001</v>
      </c>
      <c r="D22" s="13">
        <v>0</v>
      </c>
      <c r="E22" s="18">
        <f t="shared" si="0"/>
        <v>24.788823020500001</v>
      </c>
      <c r="F22" s="13">
        <f t="shared" si="1"/>
        <v>1652.5882018309262</v>
      </c>
      <c r="G22" s="13">
        <f xml:space="preserve"> C22/(1-$C$29)</f>
        <v>1677.3770248514263</v>
      </c>
      <c r="H22" s="13">
        <f>G22</f>
        <v>1677.3770248514263</v>
      </c>
      <c r="I22" s="13">
        <f t="shared" si="2"/>
        <v>1677.3770248514263</v>
      </c>
      <c r="J22" s="13">
        <f t="shared" si="3"/>
        <v>1677.3770248514263</v>
      </c>
      <c r="K22" s="13">
        <f t="shared" si="4"/>
        <v>0</v>
      </c>
      <c r="L22" s="13">
        <f t="shared" si="5"/>
        <v>1677.3770248514263</v>
      </c>
      <c r="M22" s="13">
        <f t="shared" si="6"/>
        <v>1652.5882018309262</v>
      </c>
      <c r="N22" s="13">
        <f t="shared" si="7"/>
        <v>24.788823020500104</v>
      </c>
      <c r="O22" s="13">
        <v>0</v>
      </c>
      <c r="P22" s="13">
        <v>0</v>
      </c>
    </row>
    <row r="23" spans="2:18" x14ac:dyDescent="0.25">
      <c r="B23" s="2" t="s">
        <v>15</v>
      </c>
      <c r="C23" s="3">
        <v>0</v>
      </c>
      <c r="D23" s="13">
        <v>0</v>
      </c>
      <c r="E23" s="18">
        <f t="shared" si="0"/>
        <v>0</v>
      </c>
      <c r="F23" s="13">
        <f t="shared" si="1"/>
        <v>35.738499059759548</v>
      </c>
      <c r="G23" s="24">
        <v>35.73849905083803</v>
      </c>
      <c r="H23" s="13">
        <f>G23+$N$29*O23+$N$30*P23</f>
        <v>302.28813787921126</v>
      </c>
      <c r="I23" s="13">
        <f t="shared" si="2"/>
        <v>302.28813787921126</v>
      </c>
      <c r="J23" s="13">
        <f t="shared" si="3"/>
        <v>302.28813787921126</v>
      </c>
      <c r="K23" s="13">
        <f t="shared" si="4"/>
        <v>266.01356133370592</v>
      </c>
      <c r="L23" s="13">
        <f t="shared" si="5"/>
        <v>36.27457654550534</v>
      </c>
      <c r="M23" s="13">
        <f t="shared" si="6"/>
        <v>35.738499059759548</v>
      </c>
      <c r="N23" s="13">
        <f t="shared" si="7"/>
        <v>0.53607748574579261</v>
      </c>
      <c r="O23" s="13">
        <v>1</v>
      </c>
      <c r="P23" s="13">
        <v>0</v>
      </c>
    </row>
    <row r="24" spans="2:18" x14ac:dyDescent="0.25">
      <c r="B24" s="2" t="s">
        <v>17</v>
      </c>
      <c r="C24" s="3">
        <v>1.7690102429999999</v>
      </c>
      <c r="D24" s="13">
        <v>0</v>
      </c>
      <c r="E24" s="18">
        <f t="shared" si="0"/>
        <v>1.7690102429999999</v>
      </c>
      <c r="F24" s="13">
        <f t="shared" si="1"/>
        <v>6.3588001193743686</v>
      </c>
      <c r="G24" s="13">
        <f>(C24+D24+$C$29*(1-D9)*(P24*N30))/(1-$C$29*(1-D9))</f>
        <v>8.1278103623743689</v>
      </c>
      <c r="H24" s="13">
        <f>G24+$N$29*O24+$N$30*P24</f>
        <v>129.08364242276366</v>
      </c>
      <c r="I24" s="13">
        <f t="shared" si="2"/>
        <v>129.08364242276366</v>
      </c>
      <c r="J24" s="13">
        <f t="shared" si="3"/>
        <v>129.08364242276366</v>
      </c>
      <c r="K24" s="13">
        <f t="shared" si="4"/>
        <v>122.62946030162547</v>
      </c>
      <c r="L24" s="13">
        <f t="shared" si="5"/>
        <v>6.4541821211381887</v>
      </c>
      <c r="M24" s="13">
        <f t="shared" si="6"/>
        <v>6.3588001193743686</v>
      </c>
      <c r="N24" s="13">
        <f t="shared" si="7"/>
        <v>9.5382001763820057E-2</v>
      </c>
      <c r="O24" s="13">
        <v>0</v>
      </c>
      <c r="P24" s="13">
        <v>1</v>
      </c>
    </row>
    <row r="25" spans="2:18" x14ac:dyDescent="0.25">
      <c r="B25" s="2" t="s">
        <v>19</v>
      </c>
      <c r="C25" s="3">
        <v>3.1706106663</v>
      </c>
      <c r="D25" s="13">
        <v>0</v>
      </c>
      <c r="E25" s="18">
        <f t="shared" si="0"/>
        <v>3.1706106663</v>
      </c>
      <c r="F25" s="13">
        <f t="shared" si="1"/>
        <v>211.37404447938104</v>
      </c>
      <c r="G25" s="13">
        <f>E25/(1-$C$29)</f>
        <v>214.54465514568105</v>
      </c>
      <c r="H25" s="13">
        <f>G25</f>
        <v>214.54465514568105</v>
      </c>
      <c r="I25" s="13">
        <f t="shared" si="2"/>
        <v>214.54465514568105</v>
      </c>
      <c r="J25" s="13">
        <f t="shared" si="3"/>
        <v>214.54465514568105</v>
      </c>
      <c r="K25" s="13">
        <f t="shared" si="4"/>
        <v>0</v>
      </c>
      <c r="L25" s="13">
        <f t="shared" si="5"/>
        <v>214.54465514568105</v>
      </c>
      <c r="M25" s="13">
        <f t="shared" si="6"/>
        <v>211.37404447938104</v>
      </c>
      <c r="N25" s="13">
        <f t="shared" si="7"/>
        <v>3.1706106663000071</v>
      </c>
      <c r="O25" s="13">
        <v>0</v>
      </c>
      <c r="P25" s="13">
        <v>0</v>
      </c>
    </row>
    <row r="27" spans="2:18" x14ac:dyDescent="0.25">
      <c r="B27" s="2" t="s">
        <v>33</v>
      </c>
      <c r="C27" s="13">
        <f>K4</f>
        <v>823.15</v>
      </c>
      <c r="D27" s="13">
        <f>K5</f>
        <v>823.15</v>
      </c>
      <c r="E27" s="13">
        <f>K4</f>
        <v>823.15</v>
      </c>
      <c r="F27" s="13"/>
      <c r="G27" s="13">
        <f>K6</f>
        <v>518.15</v>
      </c>
      <c r="H27" s="13">
        <f>K7</f>
        <v>537.15</v>
      </c>
      <c r="I27" s="13"/>
      <c r="J27" s="13">
        <f>K8</f>
        <v>383.15</v>
      </c>
      <c r="K27" s="13">
        <f>K9</f>
        <v>313.14999999999998</v>
      </c>
      <c r="L27" s="13">
        <f>K9</f>
        <v>313.14999999999998</v>
      </c>
      <c r="M27" s="13">
        <f>K9</f>
        <v>313.14999999999998</v>
      </c>
      <c r="N27" s="13">
        <f>K9</f>
        <v>313.14999999999998</v>
      </c>
      <c r="P27" t="s">
        <v>36</v>
      </c>
      <c r="Q27">
        <f>C20+D20+$C$29*(1-D5)*(G20+O20*$N$29+P20*$N$30)-G20</f>
        <v>0</v>
      </c>
      <c r="R27" t="s">
        <v>48</v>
      </c>
    </row>
    <row r="28" spans="2:18" x14ac:dyDescent="0.25">
      <c r="P28" t="s">
        <v>46</v>
      </c>
      <c r="Q28">
        <f>C21+D21+$C$29*(1-D6)*(G21+O21*$N$29+P21*$N$30)-G21</f>
        <v>0</v>
      </c>
      <c r="R28" t="s">
        <v>49</v>
      </c>
    </row>
    <row r="29" spans="2:18" x14ac:dyDescent="0.25">
      <c r="B29" s="16" t="s">
        <v>34</v>
      </c>
      <c r="C29" s="17">
        <v>0.98522167488093759</v>
      </c>
      <c r="E29" t="s">
        <v>35</v>
      </c>
      <c r="F29">
        <f>1-N19/(C19+D19)</f>
        <v>0.98000000000542487</v>
      </c>
      <c r="H29" t="s">
        <v>36</v>
      </c>
      <c r="I29">
        <f>F29-F13</f>
        <v>5.4248827652259024E-12</v>
      </c>
      <c r="J29" t="s">
        <v>37</v>
      </c>
      <c r="M29" s="20" t="s">
        <v>38</v>
      </c>
      <c r="N29" s="13">
        <f>-G23+F12*(G23+G20+G19)</f>
        <v>266.54963882837325</v>
      </c>
      <c r="P29" t="s">
        <v>47</v>
      </c>
      <c r="Q29">
        <f>C23+D23+$C$29*(1-D8)*(G23+O23*$N$29+P23*$N$30)-G23</f>
        <v>8.9215319576396723E-9</v>
      </c>
      <c r="R29" t="s">
        <v>50</v>
      </c>
    </row>
    <row r="30" spans="2:18" x14ac:dyDescent="0.25">
      <c r="M30" s="20" t="s">
        <v>39</v>
      </c>
      <c r="N30" s="13">
        <f>N29-G19*C13</f>
        <v>120.9558320603893</v>
      </c>
    </row>
    <row r="31" spans="2:18" x14ac:dyDescent="0.25">
      <c r="B31" s="19" t="s">
        <v>51</v>
      </c>
      <c r="C31" s="26">
        <f xml:space="preserve"> SUM(M19:M25)/SUM(E19:E25)</f>
        <v>5.3965143778424247</v>
      </c>
      <c r="D31" s="13" t="s">
        <v>52</v>
      </c>
    </row>
    <row r="33" spans="2:22" x14ac:dyDescent="0.25">
      <c r="B33" s="15" t="s">
        <v>57</v>
      </c>
      <c r="C33" s="15"/>
    </row>
    <row r="34" spans="2:22" x14ac:dyDescent="0.25">
      <c r="G34" s="30" t="s">
        <v>68</v>
      </c>
      <c r="H34" s="30" t="s">
        <v>69</v>
      </c>
      <c r="I34" s="30" t="s">
        <v>68</v>
      </c>
      <c r="J34" s="30" t="s">
        <v>69</v>
      </c>
      <c r="K34" s="30" t="s">
        <v>68</v>
      </c>
      <c r="L34" s="30" t="s">
        <v>69</v>
      </c>
      <c r="M34" s="30" t="s">
        <v>68</v>
      </c>
      <c r="N34" s="30" t="s">
        <v>69</v>
      </c>
    </row>
    <row r="35" spans="2:22" x14ac:dyDescent="0.25">
      <c r="C35" s="1" t="s">
        <v>2</v>
      </c>
      <c r="D35" s="1" t="s">
        <v>3</v>
      </c>
      <c r="E35" s="1" t="s">
        <v>4</v>
      </c>
      <c r="F35" s="1" t="s">
        <v>5</v>
      </c>
      <c r="G35" s="27" t="s">
        <v>58</v>
      </c>
      <c r="H35" s="27" t="s">
        <v>59</v>
      </c>
      <c r="I35" s="27" t="s">
        <v>60</v>
      </c>
      <c r="J35" s="27" t="s">
        <v>61</v>
      </c>
      <c r="K35" s="27" t="s">
        <v>62</v>
      </c>
      <c r="L35" s="27" t="s">
        <v>63</v>
      </c>
      <c r="M35" s="27" t="s">
        <v>64</v>
      </c>
      <c r="N35" s="27" t="s">
        <v>65</v>
      </c>
      <c r="O35" s="27" t="s">
        <v>71</v>
      </c>
      <c r="P35" s="27" t="s">
        <v>72</v>
      </c>
      <c r="Q35" s="27" t="s">
        <v>73</v>
      </c>
      <c r="R35" s="27" t="s">
        <v>74</v>
      </c>
      <c r="S35" s="27" t="s">
        <v>76</v>
      </c>
      <c r="T35" s="27" t="s">
        <v>75</v>
      </c>
      <c r="U35" s="27" t="s">
        <v>78</v>
      </c>
      <c r="V35" s="27" t="s">
        <v>79</v>
      </c>
    </row>
    <row r="36" spans="2:22" x14ac:dyDescent="0.25">
      <c r="B36" s="2" t="s">
        <v>7</v>
      </c>
      <c r="C36" s="5">
        <v>29.556000000000001</v>
      </c>
      <c r="D36" s="6">
        <v>-6.5807000000000001E-3</v>
      </c>
      <c r="E36" s="6">
        <v>2.0129999999999999E-5</v>
      </c>
      <c r="F36" s="6">
        <v>-1.2226999999999999E-8</v>
      </c>
      <c r="G36" s="28">
        <f>C36*($G$44-$G$46)+D36/2*($G$44^2-$G$46^2)+E36/3*($G$44^3-$G$46^3)+F36/4*($G$44^4-$G$46^4)</f>
        <v>8726.54811210353</v>
      </c>
      <c r="H36" s="28">
        <f>G36*C19*1000/3600</f>
        <v>360127.93638834561</v>
      </c>
      <c r="I36" s="28">
        <f>C36*($G$44-$G$46)+D36/2*($G$44^2-$G$46^2)+E36/3*($G$44^3-$G$46^3)+F36/4*($G$44^4-$G$46^4)</f>
        <v>8726.54811210353</v>
      </c>
      <c r="J36" s="28">
        <f xml:space="preserve"> I36*D19*1000/3600</f>
        <v>0</v>
      </c>
      <c r="K36" s="29">
        <f>C36*($K$44-$G$46)+D36/2*($K$44^2-$G$46^2)+E36/3*($K$44^3-$G$46^3)+F36/4*($K$44^4-$G$46^4)</f>
        <v>-2213.357311116556</v>
      </c>
      <c r="L36" s="13">
        <f>K36*F19*1000/3600</f>
        <v>-121788.02595031985</v>
      </c>
      <c r="M36" s="28">
        <f>C36*($M$44-$G$46)+D36/2*($M$44^2-$G$46^2)+E36/3*($M$44^3-$G$46^3)+F36/4*($M$44^4-$G$46^4)</f>
        <v>-567.94778532091732</v>
      </c>
      <c r="N36" s="18">
        <f>M36*G19*1000/3600</f>
        <v>-54688.94187190348</v>
      </c>
      <c r="O36" s="28">
        <f>C36*($O$44-$G$46)+D36/2*($O$44^2-$G$46^2)+E36/3*($O$44^3-$G$46^3)+F36/4*($O$44^4-$G$46^4)</f>
        <v>0</v>
      </c>
      <c r="P36" s="28">
        <f xml:space="preserve"> O36*H19*1000/3600</f>
        <v>0</v>
      </c>
      <c r="Q36" s="18">
        <f>C36*($Q$44-$G$46)+D36/2*($Q$44^2-$G$46^2)+E36/3*($Q$44^3-$G$46^3)+F36/4*($Q$44^4-$G$46^4)</f>
        <v>-6602.650622552258</v>
      </c>
      <c r="R36" s="13">
        <f>Q36*M19*1000/3600</f>
        <v>-363305.00336370885</v>
      </c>
      <c r="S36" s="18">
        <f>C36*($S$44-$G$46)+D36/2*($S$44^2-$G$46^2)+E36/3*($S$44^3-$G$46^3)+F36/4*($S$44^4-$G$46^4)</f>
        <v>-4449.545475380115</v>
      </c>
      <c r="T36" s="18">
        <f>S36*I19*1000/3600</f>
        <v>-248504.78386623869</v>
      </c>
      <c r="U36" s="18">
        <f>C36*($U$44-$G$46)+D36/2*($U$44^2-$G$46^2)+E36/3*($U$44^3-$G$46^3)+F36/4*($U$44^4-$G$46^4)</f>
        <v>-4559.217880299072</v>
      </c>
      <c r="V36" s="13">
        <f xml:space="preserve"> U36*J19*1000/3600</f>
        <v>-254629.93022810336</v>
      </c>
    </row>
    <row r="37" spans="2:22" x14ac:dyDescent="0.25">
      <c r="B37" s="2" t="s">
        <v>9</v>
      </c>
      <c r="C37" s="5">
        <v>27.437000000000001</v>
      </c>
      <c r="D37" s="6">
        <v>4.2314999999999998E-2</v>
      </c>
      <c r="E37" s="6">
        <v>-1.9555000000000002E-5</v>
      </c>
      <c r="F37" s="6">
        <v>3.9968000000000001E-9</v>
      </c>
      <c r="G37" s="28">
        <f t="shared" ref="G37:G42" si="8">C37*($G$44-$G$46)+D37/2*($G$44^2-$G$46^2)+E37/3*($G$44^3-$G$46^3)+F37/4*($G$44^4-$G$46^4)</f>
        <v>13828.436018382774</v>
      </c>
      <c r="H37" s="28">
        <f t="shared" ref="H37:H42" si="9">G37*C20*1000/3600</f>
        <v>289718.56154889963</v>
      </c>
      <c r="I37" s="28">
        <f t="shared" ref="I37:I42" si="10">C37*($G$44-$G$46)+D37/2*($G$44^2-$G$46^2)+E37/3*($G$44^3-$G$46^3)+F37/4*($G$44^4-$G$46^4)</f>
        <v>13828.436018382774</v>
      </c>
      <c r="J37" s="28">
        <f t="shared" ref="J37:J42" si="11" xml:space="preserve"> I37*D20*1000/3600</f>
        <v>221657.49802067806</v>
      </c>
      <c r="K37" s="29">
        <f t="shared" ref="K37:K42" si="12">C37*($K$44-$G$46)+D37/2*($K$44^2-$G$46^2)+E37/3*($K$44^3-$G$46^3)+F37/4*($K$44^4-$G$46^4)</f>
        <v>-3286.0406483846346</v>
      </c>
      <c r="L37" s="13">
        <f t="shared" ref="L37:L42" si="13">K37*F20*1000/3600</f>
        <v>-449191.33013071457</v>
      </c>
      <c r="M37" s="28">
        <f t="shared" ref="M37:M42" si="14">C37*($M$44-$G$46)+D37/2*($M$44^2-$G$46^2)+E37/3*($M$44^3-$G$46^3)+F37/4*($M$44^4-$G$46^4)</f>
        <v>-853.23048071455867</v>
      </c>
      <c r="N37" s="18">
        <f t="shared" ref="N37:N42" si="15">M37*G20*1000/3600</f>
        <v>-148186.39319676283</v>
      </c>
      <c r="O37" s="28">
        <f t="shared" ref="O37:O42" si="16">C37*($O$44-$G$46)+D37/2*($O$44^2-$G$46^2)+E37/3*($O$44^3-$G$46^3)+F37/4*($O$44^4-$G$46^4)</f>
        <v>0</v>
      </c>
      <c r="P37" s="28">
        <f t="shared" ref="P37:P42" si="17" xml:space="preserve"> O37*H20*1000/3600</f>
        <v>0</v>
      </c>
      <c r="Q37" s="18">
        <f t="shared" ref="Q37:Q42" si="18">C37*($Q$44-$G$46)+D37/2*($Q$44^2-$G$46^2)+E37/3*($Q$44^3-$G$46^3)+F37/4*($Q$44^4-$G$46^4)</f>
        <v>-9439.2027048009022</v>
      </c>
      <c r="R37" s="13">
        <f t="shared" ref="R37:R42" si="19">Q37*M20*1000/3600</f>
        <v>-1290309.0594534418</v>
      </c>
      <c r="S37" s="18">
        <f t="shared" ref="S37:S42" si="20">C37*($S$44-$G$46)+D37/2*($S$44^2-$G$46^2)+E37/3*($S$44^3-$G$46^3)+F37/4*($S$44^4-$G$46^4)</f>
        <v>-6488.2841523337001</v>
      </c>
      <c r="T37" s="18">
        <f t="shared" ref="T37:T42" si="21">S37*I20*1000/3600</f>
        <v>-908866.00135950616</v>
      </c>
      <c r="U37" s="18">
        <f t="shared" ref="U37:U42" si="22">C37*($U$44-$G$46)+D37/2*($U$44^2-$G$46^2)+E37/3*($U$44^3-$G$46^3)+F37/4*($U$44^4-$G$46^4)</f>
        <v>-6641.9245866751271</v>
      </c>
      <c r="V37" s="13">
        <f t="shared" ref="V37:V42" si="23" xml:space="preserve"> U37*J20*1000/3600</f>
        <v>-930387.64929115621</v>
      </c>
    </row>
    <row r="38" spans="2:22" x14ac:dyDescent="0.25">
      <c r="B38" s="2" t="s">
        <v>11</v>
      </c>
      <c r="C38" s="5">
        <v>25.399000000000001</v>
      </c>
      <c r="D38" s="6">
        <v>2.0178000000000001E-2</v>
      </c>
      <c r="E38" s="6">
        <v>-3.8549E-5</v>
      </c>
      <c r="F38" s="6">
        <v>3.1879999999999998E-8</v>
      </c>
      <c r="G38" s="28">
        <f t="shared" si="8"/>
        <v>9009.4312895725507</v>
      </c>
      <c r="H38" s="28">
        <f t="shared" si="9"/>
        <v>1743619.9641554642</v>
      </c>
      <c r="I38" s="28">
        <f t="shared" si="10"/>
        <v>9009.4312895725507</v>
      </c>
      <c r="J38" s="28">
        <f t="shared" si="11"/>
        <v>0</v>
      </c>
      <c r="K38" s="29">
        <f t="shared" si="12"/>
        <v>-2218.5164432875777</v>
      </c>
      <c r="L38" s="13">
        <f t="shared" si="13"/>
        <v>-1752741.8171342611</v>
      </c>
      <c r="M38" s="28">
        <f t="shared" si="14"/>
        <v>-569.94344853782002</v>
      </c>
      <c r="N38" s="18">
        <f t="shared" si="15"/>
        <v>-560587.28664663923</v>
      </c>
      <c r="O38" s="28">
        <f t="shared" si="16"/>
        <v>0</v>
      </c>
      <c r="P38" s="28">
        <f t="shared" si="17"/>
        <v>0</v>
      </c>
      <c r="Q38" s="18">
        <f t="shared" si="18"/>
        <v>-6600.9575338120803</v>
      </c>
      <c r="R38" s="13">
        <f t="shared" si="19"/>
        <v>-5215095.1315442342</v>
      </c>
      <c r="S38" s="18">
        <f t="shared" si="20"/>
        <v>-4454.7920917749843</v>
      </c>
      <c r="T38" s="18">
        <f t="shared" si="21"/>
        <v>-3572307.0323086167</v>
      </c>
      <c r="U38" s="18">
        <f t="shared" si="22"/>
        <v>-4564.3314997650268</v>
      </c>
      <c r="V38" s="13">
        <f t="shared" si="23"/>
        <v>-3660146.9111214206</v>
      </c>
    </row>
    <row r="39" spans="2:22" x14ac:dyDescent="0.25">
      <c r="B39" s="2" t="s">
        <v>13</v>
      </c>
      <c r="C39" s="5">
        <v>34.942</v>
      </c>
      <c r="D39" s="6">
        <v>-3.9956999999999999E-2</v>
      </c>
      <c r="E39" s="6">
        <v>1.9184000000000001E-4</v>
      </c>
      <c r="F39" s="6">
        <v>-1.5302999999999999E-7</v>
      </c>
      <c r="G39" s="28">
        <f t="shared" si="8"/>
        <v>13596.745599552174</v>
      </c>
      <c r="H39" s="28">
        <f t="shared" si="9"/>
        <v>93624.25564501695</v>
      </c>
      <c r="I39" s="28">
        <f t="shared" si="10"/>
        <v>13596.745599552174</v>
      </c>
      <c r="J39" s="28">
        <f t="shared" si="11"/>
        <v>0</v>
      </c>
      <c r="K39" s="29">
        <f t="shared" si="12"/>
        <v>-3254.6671426786088</v>
      </c>
      <c r="L39" s="13">
        <f t="shared" si="13"/>
        <v>-1494062.3669104001</v>
      </c>
      <c r="M39" s="28">
        <f t="shared" si="14"/>
        <v>-850.95828068325704</v>
      </c>
      <c r="N39" s="18">
        <f t="shared" si="15"/>
        <v>-396493.85253476852</v>
      </c>
      <c r="O39" s="28">
        <f t="shared" si="16"/>
        <v>0</v>
      </c>
      <c r="P39" s="28">
        <f t="shared" si="17"/>
        <v>0</v>
      </c>
      <c r="Q39" s="18">
        <f t="shared" si="18"/>
        <v>-9151.7405104869085</v>
      </c>
      <c r="R39" s="13">
        <f t="shared" si="19"/>
        <v>-4201127.3316246672</v>
      </c>
      <c r="S39" s="18">
        <f t="shared" si="20"/>
        <v>-6356.0926379240773</v>
      </c>
      <c r="T39" s="18">
        <f t="shared" si="21"/>
        <v>-2961545.4885225398</v>
      </c>
      <c r="U39" s="18">
        <f t="shared" si="22"/>
        <v>-6503.0108507884797</v>
      </c>
      <c r="V39" s="13">
        <f t="shared" si="23"/>
        <v>-3030000.275964479</v>
      </c>
    </row>
    <row r="40" spans="2:22" x14ac:dyDescent="0.25">
      <c r="B40" s="2" t="s">
        <v>15</v>
      </c>
      <c r="C40" s="5">
        <v>40.045999999999999</v>
      </c>
      <c r="D40" s="6">
        <v>-3.8287000000000002E-2</v>
      </c>
      <c r="E40" s="6">
        <v>-2.4529E-4</v>
      </c>
      <c r="F40" s="6">
        <v>-2.1679E-7</v>
      </c>
      <c r="G40" s="28">
        <f t="shared" si="8"/>
        <v>-49296.405535679449</v>
      </c>
      <c r="H40" s="28">
        <f t="shared" si="9"/>
        <v>0</v>
      </c>
      <c r="I40" s="28">
        <f t="shared" si="10"/>
        <v>-49296.405535679449</v>
      </c>
      <c r="J40" s="28">
        <f t="shared" si="11"/>
        <v>0</v>
      </c>
      <c r="K40" s="29">
        <f t="shared" si="12"/>
        <v>5038.5907199454832</v>
      </c>
      <c r="L40" s="13">
        <f t="shared" si="13"/>
        <v>50019.908252023568</v>
      </c>
      <c r="M40" s="28">
        <f t="shared" si="14"/>
        <v>1525.9614998931861</v>
      </c>
      <c r="N40" s="18">
        <f t="shared" si="15"/>
        <v>15148.770448763335</v>
      </c>
      <c r="O40" s="28">
        <f t="shared" si="16"/>
        <v>0</v>
      </c>
      <c r="P40" s="28">
        <f t="shared" si="17"/>
        <v>0</v>
      </c>
      <c r="Q40" s="18">
        <f t="shared" si="18"/>
        <v>8827.8286506490349</v>
      </c>
      <c r="R40" s="13">
        <f t="shared" si="19"/>
        <v>87637.040536371918</v>
      </c>
      <c r="S40" s="18">
        <f t="shared" si="20"/>
        <v>7875.2485847108119</v>
      </c>
      <c r="T40" s="18">
        <f t="shared" si="21"/>
        <v>661276.17500225699</v>
      </c>
      <c r="U40" s="18">
        <f t="shared" si="22"/>
        <v>7962.9289969469228</v>
      </c>
      <c r="V40" s="13">
        <f t="shared" si="23"/>
        <v>668638.60515318357</v>
      </c>
    </row>
    <row r="41" spans="2:22" x14ac:dyDescent="0.25">
      <c r="B41" s="2" t="s">
        <v>17</v>
      </c>
      <c r="C41" s="5">
        <v>33.933</v>
      </c>
      <c r="D41" s="6">
        <v>-8.4186E-3</v>
      </c>
      <c r="E41" s="6">
        <v>2.9906000000000001E-5</v>
      </c>
      <c r="F41" s="6">
        <v>-1.7824999999999999E-8</v>
      </c>
      <c r="G41" s="28">
        <f t="shared" si="8"/>
        <v>10407.310377123733</v>
      </c>
      <c r="H41" s="28">
        <f t="shared" si="9"/>
        <v>5114.0662942255767</v>
      </c>
      <c r="I41" s="28">
        <f t="shared" si="10"/>
        <v>10407.310377123733</v>
      </c>
      <c r="J41" s="28">
        <f t="shared" si="11"/>
        <v>0</v>
      </c>
      <c r="K41" s="29">
        <f t="shared" si="12"/>
        <v>-2600.1751570384972</v>
      </c>
      <c r="L41" s="13">
        <f t="shared" si="13"/>
        <v>-4592.7761386029615</v>
      </c>
      <c r="M41" s="28">
        <f t="shared" si="14"/>
        <v>-668.77438983996183</v>
      </c>
      <c r="N41" s="18">
        <f t="shared" si="15"/>
        <v>-1509.9087266199547</v>
      </c>
      <c r="O41" s="28">
        <f t="shared" si="16"/>
        <v>0</v>
      </c>
      <c r="P41" s="28">
        <f t="shared" si="17"/>
        <v>0</v>
      </c>
      <c r="Q41" s="18">
        <f t="shared" si="18"/>
        <v>-7709.991588927167</v>
      </c>
      <c r="R41" s="13">
        <f t="shared" si="19"/>
        <v>-13618.415398901512</v>
      </c>
      <c r="S41" s="18">
        <f t="shared" si="20"/>
        <v>-5210.8072179081446</v>
      </c>
      <c r="T41" s="18">
        <f t="shared" si="21"/>
        <v>-186841.6599028919</v>
      </c>
      <c r="U41" s="18">
        <f t="shared" si="22"/>
        <v>-5338.4377195936713</v>
      </c>
      <c r="V41" s="13">
        <f t="shared" si="23"/>
        <v>-191418.05158117315</v>
      </c>
    </row>
    <row r="42" spans="2:22" x14ac:dyDescent="0.25">
      <c r="B42" s="2" t="s">
        <v>19</v>
      </c>
      <c r="C42" s="5">
        <v>29.341999999999999</v>
      </c>
      <c r="D42" s="6">
        <v>-3.5395000000000001E-3</v>
      </c>
      <c r="E42" s="6">
        <v>1.0076E-5</v>
      </c>
      <c r="F42" s="6">
        <v>-4.3115999999999999E-9</v>
      </c>
      <c r="G42" s="28">
        <f t="shared" si="8"/>
        <v>8650.9047798411557</v>
      </c>
      <c r="H42" s="28">
        <f t="shared" si="9"/>
        <v>7619.0697133638951</v>
      </c>
      <c r="I42" s="28">
        <f t="shared" si="10"/>
        <v>8650.9047798411557</v>
      </c>
      <c r="J42" s="28">
        <f t="shared" si="11"/>
        <v>0</v>
      </c>
      <c r="K42" s="29">
        <f t="shared" si="12"/>
        <v>-2197.252795098329</v>
      </c>
      <c r="L42" s="13">
        <f t="shared" si="13"/>
        <v>-129011.72501209957</v>
      </c>
      <c r="M42" s="28">
        <f t="shared" si="14"/>
        <v>-563.2813707132068</v>
      </c>
      <c r="N42" s="18">
        <f t="shared" si="15"/>
        <v>-33569.168730458747</v>
      </c>
      <c r="O42" s="28">
        <f t="shared" si="16"/>
        <v>0</v>
      </c>
      <c r="P42" s="28">
        <f t="shared" si="17"/>
        <v>0</v>
      </c>
      <c r="Q42" s="18">
        <f t="shared" si="18"/>
        <v>-6573.5594953412228</v>
      </c>
      <c r="R42" s="13">
        <f t="shared" si="19"/>
        <v>-385966.6269878092</v>
      </c>
      <c r="S42" s="18">
        <f t="shared" si="20"/>
        <v>-4423.5983097863354</v>
      </c>
      <c r="T42" s="18">
        <f t="shared" si="21"/>
        <v>-263627.60385447973</v>
      </c>
      <c r="U42" s="18">
        <f t="shared" si="22"/>
        <v>-4532.9649455350991</v>
      </c>
      <c r="V42" s="13">
        <f t="shared" si="23"/>
        <v>-270145.38917424687</v>
      </c>
    </row>
    <row r="44" spans="2:22" x14ac:dyDescent="0.25">
      <c r="G44" s="13">
        <v>823.15</v>
      </c>
      <c r="I44" s="13">
        <v>823.15</v>
      </c>
      <c r="K44" s="17">
        <v>462.80265594843968</v>
      </c>
      <c r="M44" s="13">
        <v>518.15</v>
      </c>
      <c r="O44" s="13">
        <v>537.15</v>
      </c>
      <c r="Q44" s="13">
        <v>313.14999999999998</v>
      </c>
      <c r="S44" s="19">
        <v>386.89199657598499</v>
      </c>
      <c r="U44" s="13">
        <v>383.15</v>
      </c>
    </row>
    <row r="45" spans="2:22" x14ac:dyDescent="0.25">
      <c r="K45" t="s">
        <v>67</v>
      </c>
    </row>
    <row r="46" spans="2:22" x14ac:dyDescent="0.25">
      <c r="F46" t="s">
        <v>66</v>
      </c>
      <c r="G46">
        <v>537.15</v>
      </c>
    </row>
    <row r="47" spans="2:22" x14ac:dyDescent="0.25">
      <c r="J47" t="s">
        <v>36</v>
      </c>
      <c r="K47" s="32">
        <f>SUM(H36:H42)+SUM(J36:J42)+SUM(L36:L42)-SUM(N36:N42)</f>
        <v>8.8475644588470459E-9</v>
      </c>
      <c r="L47" s="33" t="s">
        <v>70</v>
      </c>
      <c r="R47" t="s">
        <v>36</v>
      </c>
      <c r="S47" s="31">
        <f xml:space="preserve"> SUM(P36:P42)+SUM(R36:R42)-SUM(T36:T42)-SUM(L36:L42)</f>
        <v>0</v>
      </c>
      <c r="T47" s="33" t="s">
        <v>77</v>
      </c>
    </row>
    <row r="49" spans="20:22" ht="15.75" thickBot="1" x14ac:dyDescent="0.3"/>
    <row r="50" spans="20:22" ht="16.5" thickTop="1" thickBot="1" x14ac:dyDescent="0.3">
      <c r="T50" s="34" t="s">
        <v>80</v>
      </c>
      <c r="U50" s="35">
        <f>-SUM(V36:V42)+SUM(T36:T42)</f>
        <v>187673.20739538036</v>
      </c>
      <c r="V50" s="12" t="s">
        <v>81</v>
      </c>
    </row>
    <row r="51" spans="20:22" ht="15.75" thickTop="1" x14ac:dyDescent="0.25">
      <c r="U51" s="25">
        <f>U50/1000</f>
        <v>187.67320739538036</v>
      </c>
      <c r="V51" s="25" t="s">
        <v>82</v>
      </c>
    </row>
  </sheetData>
  <mergeCells count="8">
    <mergeCell ref="B33:C33"/>
    <mergeCell ref="A1:G1"/>
    <mergeCell ref="J3:L3"/>
    <mergeCell ref="B16:C16"/>
    <mergeCell ref="J12:K12"/>
    <mergeCell ref="J13:K13"/>
    <mergeCell ref="J14:K14"/>
    <mergeCell ref="J15:K15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21D4-C53B-419B-AEB5-5ACF973E6955}">
  <dimension ref="A1:R47"/>
  <sheetViews>
    <sheetView zoomScale="93" zoomScaleNormal="85" workbookViewId="0">
      <selection activeCell="G54" sqref="G54"/>
    </sheetView>
  </sheetViews>
  <sheetFormatPr defaultRowHeight="15" x14ac:dyDescent="0.25"/>
  <cols>
    <col min="5" max="5" width="11.140625" bestFit="1" customWidth="1"/>
    <col min="11" max="11" width="9.140625" customWidth="1"/>
    <col min="13" max="13" width="10.85546875" customWidth="1"/>
  </cols>
  <sheetData>
    <row r="1" spans="1:12" ht="15.75" x14ac:dyDescent="0.25">
      <c r="A1" s="10" t="s">
        <v>24</v>
      </c>
      <c r="B1" s="10"/>
      <c r="C1" s="10"/>
      <c r="D1" s="10"/>
      <c r="E1" s="10"/>
      <c r="F1" s="10"/>
      <c r="G1" s="10"/>
    </row>
    <row r="3" spans="1:12" x14ac:dyDescent="0.25">
      <c r="C3" s="8" t="s">
        <v>0</v>
      </c>
      <c r="D3" s="9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11" t="s">
        <v>6</v>
      </c>
      <c r="K3" s="11"/>
      <c r="L3" s="11"/>
    </row>
    <row r="4" spans="1:12" x14ac:dyDescent="0.25">
      <c r="B4" s="2" t="s">
        <v>7</v>
      </c>
      <c r="C4" s="3">
        <v>148.5651089461</v>
      </c>
      <c r="D4" s="4">
        <v>0</v>
      </c>
      <c r="E4" s="5">
        <v>29.556000000000001</v>
      </c>
      <c r="F4" s="6">
        <v>-6.5807000000000001E-3</v>
      </c>
      <c r="G4" s="6">
        <v>2.0129999999999999E-5</v>
      </c>
      <c r="H4" s="6">
        <v>-1.2226999999999999E-8</v>
      </c>
      <c r="J4" s="1" t="s">
        <v>0</v>
      </c>
      <c r="K4" s="5">
        <f>550+273.15</f>
        <v>823.15</v>
      </c>
      <c r="L4" s="4" t="s">
        <v>8</v>
      </c>
    </row>
    <row r="5" spans="1:12" x14ac:dyDescent="0.25">
      <c r="B5" s="2" t="s">
        <v>9</v>
      </c>
      <c r="C5" s="3">
        <f>75.4233392836</f>
        <v>75.423339283600001</v>
      </c>
      <c r="D5" s="4">
        <v>9.4999999999999998E-3</v>
      </c>
      <c r="E5" s="5">
        <v>27.437000000000001</v>
      </c>
      <c r="F5" s="6">
        <v>4.2314999999999998E-2</v>
      </c>
      <c r="G5" s="6">
        <v>-1.9555000000000002E-5</v>
      </c>
      <c r="H5" s="6">
        <v>3.9968000000000001E-9</v>
      </c>
      <c r="J5" s="1" t="s">
        <v>10</v>
      </c>
      <c r="K5" s="5">
        <f>550+273.15</f>
        <v>823.15</v>
      </c>
      <c r="L5" s="4" t="s">
        <v>8</v>
      </c>
    </row>
    <row r="6" spans="1:12" x14ac:dyDescent="0.25">
      <c r="B6" s="2" t="s">
        <v>11</v>
      </c>
      <c r="C6" s="3">
        <v>696.71788031999995</v>
      </c>
      <c r="D6" s="4">
        <v>0</v>
      </c>
      <c r="E6" s="5">
        <v>25.399000000000001</v>
      </c>
      <c r="F6" s="6">
        <v>2.0178000000000001E-2</v>
      </c>
      <c r="G6" s="6">
        <v>-3.8549E-5</v>
      </c>
      <c r="H6" s="6">
        <v>3.1879999999999998E-8</v>
      </c>
      <c r="J6" s="1" t="s">
        <v>12</v>
      </c>
      <c r="K6" s="5">
        <f>245+273.15</f>
        <v>518.15</v>
      </c>
      <c r="L6" s="4" t="s">
        <v>8</v>
      </c>
    </row>
    <row r="7" spans="1:12" x14ac:dyDescent="0.25">
      <c r="B7" s="2" t="s">
        <v>13</v>
      </c>
      <c r="C7" s="3">
        <v>24.788823020500001</v>
      </c>
      <c r="D7" s="4">
        <v>0</v>
      </c>
      <c r="E7" s="5">
        <v>34.942</v>
      </c>
      <c r="F7" s="6">
        <v>-3.9956999999999999E-2</v>
      </c>
      <c r="G7" s="6">
        <v>1.9184000000000001E-4</v>
      </c>
      <c r="H7" s="6">
        <v>-1.5302999999999999E-7</v>
      </c>
      <c r="J7" s="1" t="s">
        <v>14</v>
      </c>
      <c r="K7" s="5">
        <f>264+273.15</f>
        <v>537.15</v>
      </c>
      <c r="L7" s="4" t="s">
        <v>8</v>
      </c>
    </row>
    <row r="8" spans="1:12" x14ac:dyDescent="0.25">
      <c r="B8" s="2" t="s">
        <v>15</v>
      </c>
      <c r="C8" s="3">
        <v>0</v>
      </c>
      <c r="D8" s="4">
        <v>0.88</v>
      </c>
      <c r="E8" s="5">
        <v>40.045999999999999</v>
      </c>
      <c r="F8" s="6">
        <v>-3.8287000000000002E-2</v>
      </c>
      <c r="G8" s="6">
        <v>-2.4529E-4</v>
      </c>
      <c r="H8" s="6">
        <v>-2.1679E-7</v>
      </c>
      <c r="J8" s="1" t="s">
        <v>16</v>
      </c>
      <c r="K8" s="5">
        <f>110+273.15</f>
        <v>383.15</v>
      </c>
      <c r="L8" s="4" t="s">
        <v>8</v>
      </c>
    </row>
    <row r="9" spans="1:12" x14ac:dyDescent="0.25">
      <c r="B9" s="2" t="s">
        <v>17</v>
      </c>
      <c r="C9" s="3">
        <v>1.7690102429999999</v>
      </c>
      <c r="D9" s="4">
        <v>0.95</v>
      </c>
      <c r="E9" s="5">
        <v>33.933</v>
      </c>
      <c r="F9" s="6">
        <v>-8.4186E-3</v>
      </c>
      <c r="G9" s="6">
        <v>2.9906000000000001E-5</v>
      </c>
      <c r="H9" s="6">
        <v>-1.7824999999999999E-8</v>
      </c>
      <c r="J9" s="1" t="s">
        <v>18</v>
      </c>
      <c r="K9" s="5">
        <f>40+273.15</f>
        <v>313.14999999999998</v>
      </c>
      <c r="L9" s="4" t="s">
        <v>8</v>
      </c>
    </row>
    <row r="10" spans="1:12" x14ac:dyDescent="0.25">
      <c r="B10" s="2" t="s">
        <v>19</v>
      </c>
      <c r="C10" s="3">
        <v>3.1706106663</v>
      </c>
      <c r="D10" s="4">
        <v>0</v>
      </c>
      <c r="E10" s="5">
        <v>29.341999999999999</v>
      </c>
      <c r="F10" s="6">
        <v>-3.5395000000000001E-3</v>
      </c>
      <c r="G10" s="6">
        <v>1.0076E-5</v>
      </c>
      <c r="H10" s="6">
        <v>-4.3115999999999999E-9</v>
      </c>
    </row>
    <row r="12" spans="1:12" x14ac:dyDescent="0.25">
      <c r="B12" s="7" t="s">
        <v>20</v>
      </c>
      <c r="C12" s="4">
        <v>3</v>
      </c>
      <c r="E12" s="7" t="s">
        <v>21</v>
      </c>
      <c r="F12" s="4">
        <v>0.3</v>
      </c>
      <c r="J12" s="21" t="s">
        <v>43</v>
      </c>
      <c r="K12" s="21"/>
    </row>
    <row r="13" spans="1:12" x14ac:dyDescent="0.25">
      <c r="B13" s="7" t="s">
        <v>22</v>
      </c>
      <c r="C13" s="4">
        <v>0.42</v>
      </c>
      <c r="E13" s="7" t="s">
        <v>23</v>
      </c>
      <c r="F13" s="4">
        <v>0.98</v>
      </c>
      <c r="J13" s="14" t="s">
        <v>40</v>
      </c>
      <c r="K13" s="14"/>
    </row>
    <row r="14" spans="1:12" x14ac:dyDescent="0.25">
      <c r="J14" s="14" t="s">
        <v>41</v>
      </c>
      <c r="K14" s="14"/>
    </row>
    <row r="15" spans="1:12" x14ac:dyDescent="0.25">
      <c r="J15" s="14" t="s">
        <v>42</v>
      </c>
      <c r="K15" s="14"/>
    </row>
    <row r="16" spans="1:12" x14ac:dyDescent="0.25">
      <c r="B16" s="15" t="s">
        <v>25</v>
      </c>
      <c r="C16" s="15"/>
    </row>
    <row r="18" spans="2:18" x14ac:dyDescent="0.25">
      <c r="C18" s="8" t="s">
        <v>0</v>
      </c>
      <c r="D18" s="8" t="s">
        <v>10</v>
      </c>
      <c r="E18" s="8" t="s">
        <v>26</v>
      </c>
      <c r="F18" s="8" t="s">
        <v>27</v>
      </c>
      <c r="G18" s="8" t="s">
        <v>12</v>
      </c>
      <c r="H18" s="8" t="s">
        <v>14</v>
      </c>
      <c r="I18" s="8" t="s">
        <v>28</v>
      </c>
      <c r="J18" s="8" t="s">
        <v>16</v>
      </c>
      <c r="K18" s="8" t="s">
        <v>29</v>
      </c>
      <c r="L18" s="8" t="s">
        <v>30</v>
      </c>
      <c r="M18" s="8" t="s">
        <v>31</v>
      </c>
      <c r="N18" s="8" t="s">
        <v>32</v>
      </c>
      <c r="O18" s="22" t="s">
        <v>44</v>
      </c>
      <c r="P18" s="22" t="s">
        <v>45</v>
      </c>
    </row>
    <row r="19" spans="2:18" x14ac:dyDescent="0.25">
      <c r="B19" s="2" t="s">
        <v>7</v>
      </c>
      <c r="C19" s="3">
        <v>148.5651089461</v>
      </c>
      <c r="D19" s="13">
        <v>0</v>
      </c>
      <c r="E19" s="18">
        <f xml:space="preserve"> C19+D19</f>
        <v>148.5651089461</v>
      </c>
      <c r="F19" s="13">
        <f>M19</f>
        <v>205.15645619919093</v>
      </c>
      <c r="G19" s="13">
        <f>E19/(1-$C$29*(1-$C$13))</f>
        <v>353.72156514529092</v>
      </c>
      <c r="H19" s="13">
        <f>G19*(1-$C$13)</f>
        <v>205.15850778426875</v>
      </c>
      <c r="I19" s="13">
        <f>H19</f>
        <v>205.15850778426875</v>
      </c>
      <c r="J19" s="13">
        <f>H19</f>
        <v>205.15850778426875</v>
      </c>
      <c r="K19" s="13">
        <f>I19*D4</f>
        <v>0</v>
      </c>
      <c r="L19" s="13">
        <f>J19-K19</f>
        <v>205.15850778426875</v>
      </c>
      <c r="M19" s="13">
        <f>$C$29*L19</f>
        <v>205.15645619919093</v>
      </c>
      <c r="N19" s="13">
        <f>L19-M19</f>
        <v>2.0515850778224376E-3</v>
      </c>
      <c r="O19" s="13">
        <v>-1</v>
      </c>
      <c r="P19" s="13">
        <v>-1</v>
      </c>
    </row>
    <row r="20" spans="2:18" x14ac:dyDescent="0.25">
      <c r="B20" s="2" t="s">
        <v>9</v>
      </c>
      <c r="C20" s="3">
        <f>75.4233392836</f>
        <v>75.423339283600001</v>
      </c>
      <c r="D20" s="24">
        <v>57.704789740044859</v>
      </c>
      <c r="E20" s="18">
        <f t="shared" ref="E20:E25" si="0" xml:space="preserve"> C20+D20</f>
        <v>133.12812902364487</v>
      </c>
      <c r="F20" s="13">
        <f t="shared" ref="F20:F25" si="1">M20</f>
        <v>496.64923395634906</v>
      </c>
      <c r="G20" s="23">
        <f>(G21-G19*C12)/(C12+1)</f>
        <v>619.93447313519323</v>
      </c>
      <c r="H20" s="13">
        <f>G20+$N$29*O20+$N$30*P20</f>
        <v>501.41766834765679</v>
      </c>
      <c r="I20" s="13">
        <f t="shared" ref="I20:I25" si="2">H20</f>
        <v>501.41766834765679</v>
      </c>
      <c r="J20" s="13">
        <f t="shared" ref="J20:J25" si="3">H20</f>
        <v>501.41766834765679</v>
      </c>
      <c r="K20" s="13">
        <f t="shared" ref="K20:K25" si="4">I20*D5</f>
        <v>4.7634678493027396</v>
      </c>
      <c r="L20" s="13">
        <f t="shared" ref="L20:L25" si="5">J20-K20</f>
        <v>496.65420049835404</v>
      </c>
      <c r="M20" s="13">
        <f t="shared" ref="M20:M25" si="6">$C$29*L20</f>
        <v>496.64923395634906</v>
      </c>
      <c r="N20" s="13">
        <f t="shared" ref="N20:N25" si="7">L20-M20</f>
        <v>4.9665420049791464E-3</v>
      </c>
      <c r="O20" s="13">
        <v>0</v>
      </c>
      <c r="P20" s="13">
        <v>-1</v>
      </c>
    </row>
    <row r="21" spans="2:18" x14ac:dyDescent="0.25">
      <c r="B21" s="2" t="s">
        <v>11</v>
      </c>
      <c r="C21" s="3">
        <v>696.71788031999995</v>
      </c>
      <c r="D21" s="13">
        <v>0</v>
      </c>
      <c r="E21" s="18">
        <f t="shared" si="0"/>
        <v>696.71788031999995</v>
      </c>
      <c r="F21" s="13">
        <f t="shared" si="1"/>
        <v>2888.1971766314032</v>
      </c>
      <c r="G21" s="24">
        <v>3540.9025879766455</v>
      </c>
      <c r="H21" s="13">
        <f>G21+$N$29*O21+$N$30*P21</f>
        <v>2888.2260588919921</v>
      </c>
      <c r="I21" s="13">
        <f t="shared" si="2"/>
        <v>2888.2260588919921</v>
      </c>
      <c r="J21" s="13">
        <f t="shared" si="3"/>
        <v>2888.2260588919921</v>
      </c>
      <c r="K21" s="13">
        <f t="shared" si="4"/>
        <v>0</v>
      </c>
      <c r="L21" s="13">
        <f t="shared" si="5"/>
        <v>2888.2260588919921</v>
      </c>
      <c r="M21" s="13">
        <f t="shared" si="6"/>
        <v>2888.1971766314032</v>
      </c>
      <c r="N21" s="13">
        <f t="shared" si="7"/>
        <v>2.8882260588943609E-2</v>
      </c>
      <c r="O21" s="13">
        <v>-2</v>
      </c>
      <c r="P21" s="13">
        <v>-1</v>
      </c>
    </row>
    <row r="22" spans="2:18" x14ac:dyDescent="0.25">
      <c r="B22" s="2" t="s">
        <v>13</v>
      </c>
      <c r="C22" s="3">
        <v>24.788823020500001</v>
      </c>
      <c r="D22" s="13">
        <v>0</v>
      </c>
      <c r="E22" s="18">
        <f t="shared" si="0"/>
        <v>24.788823020500001</v>
      </c>
      <c r="F22" s="13">
        <f t="shared" si="1"/>
        <v>2478857.513238261</v>
      </c>
      <c r="G22" s="13">
        <f xml:space="preserve"> C22/(1-$C$29)</f>
        <v>2478882.3020612816</v>
      </c>
      <c r="H22" s="13">
        <f>G22</f>
        <v>2478882.3020612816</v>
      </c>
      <c r="I22" s="13">
        <f t="shared" si="2"/>
        <v>2478882.3020612816</v>
      </c>
      <c r="J22" s="13">
        <f t="shared" si="3"/>
        <v>2478882.3020612816</v>
      </c>
      <c r="K22" s="13">
        <f t="shared" si="4"/>
        <v>0</v>
      </c>
      <c r="L22" s="13">
        <f t="shared" si="5"/>
        <v>2478882.3020612816</v>
      </c>
      <c r="M22" s="13">
        <f t="shared" si="6"/>
        <v>2478857.513238261</v>
      </c>
      <c r="N22" s="13">
        <f t="shared" si="7"/>
        <v>24.788823020644486</v>
      </c>
      <c r="O22" s="13">
        <v>0</v>
      </c>
      <c r="P22" s="13">
        <v>0</v>
      </c>
    </row>
    <row r="23" spans="2:18" x14ac:dyDescent="0.25">
      <c r="B23" s="2" t="s">
        <v>15</v>
      </c>
      <c r="C23" s="3">
        <v>0</v>
      </c>
      <c r="D23" s="13">
        <v>0</v>
      </c>
      <c r="E23" s="18">
        <f t="shared" si="0"/>
        <v>0</v>
      </c>
      <c r="F23" s="13">
        <f t="shared" si="1"/>
        <v>36.337839961894169</v>
      </c>
      <c r="G23" s="24">
        <v>35.73849905083803</v>
      </c>
      <c r="H23" s="13">
        <f>G23+$N$29*O23+$N$30*P23</f>
        <v>302.81836119939663</v>
      </c>
      <c r="I23" s="13">
        <f t="shared" si="2"/>
        <v>302.81836119939663</v>
      </c>
      <c r="J23" s="13">
        <f t="shared" si="3"/>
        <v>302.81836119939663</v>
      </c>
      <c r="K23" s="13">
        <f t="shared" si="4"/>
        <v>266.48015785546903</v>
      </c>
      <c r="L23" s="13">
        <f t="shared" si="5"/>
        <v>36.338203343927603</v>
      </c>
      <c r="M23" s="13">
        <f t="shared" si="6"/>
        <v>36.337839961894169</v>
      </c>
      <c r="N23" s="13">
        <f t="shared" si="7"/>
        <v>3.6338203343433406E-4</v>
      </c>
      <c r="O23" s="13">
        <v>1</v>
      </c>
      <c r="P23" s="13">
        <v>0</v>
      </c>
    </row>
    <row r="24" spans="2:18" x14ac:dyDescent="0.25">
      <c r="B24" s="2" t="s">
        <v>17</v>
      </c>
      <c r="C24" s="3">
        <v>1.7690102429999999</v>
      </c>
      <c r="D24" s="13">
        <v>0</v>
      </c>
      <c r="E24" s="18">
        <f t="shared" si="0"/>
        <v>1.7690102429999999</v>
      </c>
      <c r="F24" s="13">
        <f t="shared" si="1"/>
        <v>6.3307657297225708</v>
      </c>
      <c r="G24" s="13">
        <f>(C24+D24+$C$29*(1-D9)*(P24*N30))/(1-$C$29*(1-D9))</f>
        <v>8.0997759727225773</v>
      </c>
      <c r="H24" s="13">
        <f>G24+$N$29*O24+$N$30*P24</f>
        <v>126.61658076025903</v>
      </c>
      <c r="I24" s="13">
        <f t="shared" si="2"/>
        <v>126.61658076025903</v>
      </c>
      <c r="J24" s="13">
        <f t="shared" si="3"/>
        <v>126.61658076025903</v>
      </c>
      <c r="K24" s="13">
        <f t="shared" si="4"/>
        <v>120.28575172224608</v>
      </c>
      <c r="L24" s="13">
        <f t="shared" si="5"/>
        <v>6.3308290380129506</v>
      </c>
      <c r="M24" s="13">
        <f t="shared" si="6"/>
        <v>6.3307657297225708</v>
      </c>
      <c r="N24" s="13">
        <f t="shared" si="7"/>
        <v>6.3308290379815446E-5</v>
      </c>
      <c r="O24" s="13">
        <v>0</v>
      </c>
      <c r="P24" s="13">
        <v>1</v>
      </c>
    </row>
    <row r="25" spans="2:18" x14ac:dyDescent="0.25">
      <c r="B25" s="2" t="s">
        <v>19</v>
      </c>
      <c r="C25" s="3">
        <v>3.1706106663</v>
      </c>
      <c r="D25" s="13">
        <v>0</v>
      </c>
      <c r="E25" s="18">
        <f t="shared" si="0"/>
        <v>3.1706106663</v>
      </c>
      <c r="F25" s="13">
        <f t="shared" si="1"/>
        <v>317057.89602077665</v>
      </c>
      <c r="G25" s="13">
        <f>E25/(1-$C$29)</f>
        <v>317061.06663144293</v>
      </c>
      <c r="H25" s="13">
        <f>G25</f>
        <v>317061.06663144293</v>
      </c>
      <c r="I25" s="13">
        <f t="shared" si="2"/>
        <v>317061.06663144293</v>
      </c>
      <c r="J25" s="13">
        <f t="shared" si="3"/>
        <v>317061.06663144293</v>
      </c>
      <c r="K25" s="13">
        <f t="shared" si="4"/>
        <v>0</v>
      </c>
      <c r="L25" s="13">
        <f t="shared" si="5"/>
        <v>317061.06663144293</v>
      </c>
      <c r="M25" s="13">
        <f t="shared" si="6"/>
        <v>317057.89602077665</v>
      </c>
      <c r="N25" s="13">
        <f t="shared" si="7"/>
        <v>3.1706106662750244</v>
      </c>
      <c r="O25" s="13">
        <v>0</v>
      </c>
      <c r="P25" s="13">
        <v>0</v>
      </c>
    </row>
    <row r="26" spans="2:18" x14ac:dyDescent="0.25">
      <c r="G26">
        <f>(G25+G22)/SUM(G19:G25)</f>
        <v>0.99837229279506834</v>
      </c>
    </row>
    <row r="27" spans="2:18" x14ac:dyDescent="0.25">
      <c r="B27" s="2" t="s">
        <v>33</v>
      </c>
      <c r="C27" s="13">
        <f>K4</f>
        <v>823.15</v>
      </c>
      <c r="D27" s="13">
        <f>K5</f>
        <v>823.15</v>
      </c>
      <c r="E27" s="13">
        <f>K4</f>
        <v>823.15</v>
      </c>
      <c r="F27" s="13"/>
      <c r="G27" s="13">
        <f>K6</f>
        <v>518.15</v>
      </c>
      <c r="H27" s="13">
        <f>K7</f>
        <v>537.15</v>
      </c>
      <c r="I27" s="13"/>
      <c r="J27" s="13">
        <f>K8</f>
        <v>383.15</v>
      </c>
      <c r="K27" s="13">
        <f>K9</f>
        <v>313.14999999999998</v>
      </c>
      <c r="L27" s="13">
        <f>K9</f>
        <v>313.14999999999998</v>
      </c>
      <c r="M27" s="13">
        <f>K9</f>
        <v>313.14999999999998</v>
      </c>
      <c r="N27" s="13">
        <f>K9</f>
        <v>313.14999999999998</v>
      </c>
      <c r="P27" t="s">
        <v>36</v>
      </c>
      <c r="Q27">
        <f>C20+D20+$C$29*(1-D5)*(G20+O20*$N$29+P20*$N$30)-G20</f>
        <v>9.8428898448007658</v>
      </c>
      <c r="R27" t="s">
        <v>48</v>
      </c>
    </row>
    <row r="28" spans="2:18" x14ac:dyDescent="0.25">
      <c r="P28" t="s">
        <v>46</v>
      </c>
      <c r="Q28">
        <f>C21+D21+$C$29*(1-D6)*(G21+O21*$N$29+P21*$N$30)-G21</f>
        <v>44.012468974757667</v>
      </c>
      <c r="R28" t="s">
        <v>49</v>
      </c>
    </row>
    <row r="29" spans="2:18" x14ac:dyDescent="0.25">
      <c r="B29" s="16" t="s">
        <v>34</v>
      </c>
      <c r="C29" s="17">
        <v>0.99999000000000005</v>
      </c>
      <c r="E29" t="s">
        <v>35</v>
      </c>
      <c r="F29">
        <f>1-N19/(C19+D19)</f>
        <v>0.99998619066689087</v>
      </c>
      <c r="H29" t="s">
        <v>36</v>
      </c>
      <c r="I29">
        <f>F29-F13</f>
        <v>1.9986190666890891E-2</v>
      </c>
      <c r="J29" t="s">
        <v>37</v>
      </c>
      <c r="M29" s="20" t="s">
        <v>38</v>
      </c>
      <c r="N29" s="13">
        <f>-G23+F12*(G23+G20+G19)</f>
        <v>267.07986214855862</v>
      </c>
      <c r="P29" t="s">
        <v>47</v>
      </c>
      <c r="Q29">
        <f>C23+D23+$C$29*(1-D8)*(G23+O23*$N$29+P23*$N$30)-G23</f>
        <v>0.59934091105612453</v>
      </c>
      <c r="R29" t="s">
        <v>50</v>
      </c>
    </row>
    <row r="30" spans="2:18" x14ac:dyDescent="0.25">
      <c r="M30" s="20" t="s">
        <v>39</v>
      </c>
      <c r="N30" s="13">
        <f>N29-G19*C13</f>
        <v>118.51680478753644</v>
      </c>
    </row>
    <row r="31" spans="2:18" x14ac:dyDescent="0.25">
      <c r="B31" s="19" t="s">
        <v>51</v>
      </c>
      <c r="C31" s="26">
        <f xml:space="preserve"> SUM(M19:M25)/SUM(E19:E25)</f>
        <v>2776.9449644134215</v>
      </c>
      <c r="D31" s="13" t="s">
        <v>52</v>
      </c>
    </row>
    <row r="32" spans="2:18" x14ac:dyDescent="0.25">
      <c r="H32" t="s">
        <v>53</v>
      </c>
      <c r="I32" t="s">
        <v>54</v>
      </c>
      <c r="J32" t="s">
        <v>55</v>
      </c>
      <c r="K32" t="s">
        <v>56</v>
      </c>
    </row>
    <row r="33" spans="4:11" x14ac:dyDescent="0.25">
      <c r="D33">
        <v>0.99999000000000005</v>
      </c>
      <c r="E33">
        <v>0.99998619066689087</v>
      </c>
      <c r="F33">
        <v>2776.9449644134215</v>
      </c>
      <c r="G33">
        <v>0.99837229279506834</v>
      </c>
      <c r="H33">
        <v>0.99999000000000005</v>
      </c>
      <c r="I33">
        <v>0.99998619066689087</v>
      </c>
      <c r="J33">
        <v>2776.9449644134215</v>
      </c>
      <c r="K33">
        <v>0.99837229279506834</v>
      </c>
    </row>
    <row r="34" spans="4:11" x14ac:dyDescent="0.25">
      <c r="H34">
        <v>0.99999000000000005</v>
      </c>
      <c r="I34">
        <v>0.99998619066689087</v>
      </c>
      <c r="J34">
        <v>2776.9449644134215</v>
      </c>
      <c r="K34">
        <v>0.99837229279506834</v>
      </c>
    </row>
    <row r="35" spans="4:11" x14ac:dyDescent="0.25">
      <c r="H35">
        <v>0.99990000000000001</v>
      </c>
      <c r="I35">
        <v>0.99986192382956629</v>
      </c>
      <c r="J35">
        <v>280.9122035452815</v>
      </c>
      <c r="K35">
        <v>0.98395797139405916</v>
      </c>
    </row>
    <row r="36" spans="4:11" x14ac:dyDescent="0.25">
      <c r="H36">
        <v>0.999</v>
      </c>
      <c r="I36">
        <v>0.99862095201864087</v>
      </c>
      <c r="J36">
        <v>31.305559525154205</v>
      </c>
      <c r="K36">
        <v>0.85982167716090574</v>
      </c>
    </row>
    <row r="37" spans="4:11" x14ac:dyDescent="0.25">
      <c r="H37">
        <v>0.99</v>
      </c>
      <c r="I37">
        <v>0.98637858149365909</v>
      </c>
      <c r="J37">
        <v>6.3112526511288811</v>
      </c>
      <c r="K37">
        <v>0.38023714415997545</v>
      </c>
    </row>
    <row r="38" spans="4:11" x14ac:dyDescent="0.25">
      <c r="H38">
        <v>0.9</v>
      </c>
      <c r="I38">
        <v>0.87866108786610875</v>
      </c>
      <c r="J38">
        <v>3.4786379490152375</v>
      </c>
      <c r="K38">
        <v>5.7919438606453204E-2</v>
      </c>
    </row>
    <row r="39" spans="4:11" x14ac:dyDescent="0.25">
      <c r="H39">
        <v>0.8</v>
      </c>
      <c r="I39">
        <v>0.78358208955223885</v>
      </c>
      <c r="J39">
        <v>2.9714206088452979</v>
      </c>
      <c r="K39">
        <v>2.9878604424318736E-2</v>
      </c>
    </row>
    <row r="40" spans="4:11" x14ac:dyDescent="0.25">
      <c r="H40">
        <v>0.7</v>
      </c>
      <c r="I40">
        <v>0.70707070707070696</v>
      </c>
      <c r="J40">
        <v>2.5607510506400692</v>
      </c>
      <c r="K40">
        <v>2.0150854103409409E-2</v>
      </c>
    </row>
    <row r="41" spans="4:11" x14ac:dyDescent="0.25">
      <c r="H41">
        <v>0.6</v>
      </c>
      <c r="I41">
        <v>0.64417177914110413</v>
      </c>
      <c r="J41">
        <v>2.1762037818073865</v>
      </c>
      <c r="K41">
        <v>1.5210016747660949E-2</v>
      </c>
    </row>
    <row r="42" spans="4:11" x14ac:dyDescent="0.25">
      <c r="H42">
        <v>0.5</v>
      </c>
      <c r="I42">
        <v>0.59154929577464777</v>
      </c>
      <c r="J42">
        <v>1.8031772115670923</v>
      </c>
      <c r="K42">
        <v>1.2219421851874919E-2</v>
      </c>
    </row>
    <row r="43" spans="4:11" x14ac:dyDescent="0.25">
      <c r="H43">
        <v>0.4</v>
      </c>
      <c r="I43">
        <v>0.546875</v>
      </c>
      <c r="J43">
        <v>1.4365362084630715</v>
      </c>
      <c r="K43">
        <v>1.0214210088475869E-2</v>
      </c>
    </row>
    <row r="44" spans="4:11" x14ac:dyDescent="0.25">
      <c r="H44">
        <v>0.3</v>
      </c>
      <c r="I44">
        <v>0.50847457627118642</v>
      </c>
      <c r="J44">
        <v>1.0739309364310927</v>
      </c>
      <c r="K44">
        <v>8.7759874246021909E-3</v>
      </c>
    </row>
    <row r="45" spans="4:11" x14ac:dyDescent="0.25">
      <c r="H45">
        <v>0.2</v>
      </c>
      <c r="I45">
        <v>0.47511312217194568</v>
      </c>
      <c r="J45">
        <v>0.71409880402350212</v>
      </c>
      <c r="K45">
        <v>7.6939095139882284E-3</v>
      </c>
    </row>
    <row r="46" spans="4:11" x14ac:dyDescent="0.25">
      <c r="H46">
        <v>0.1</v>
      </c>
      <c r="I46">
        <v>0.44585987261146487</v>
      </c>
      <c r="J46">
        <v>0.35628440711816567</v>
      </c>
      <c r="K46">
        <v>6.8501718749795128E-3</v>
      </c>
    </row>
    <row r="47" spans="4:11" x14ac:dyDescent="0.25">
      <c r="H47">
        <v>0</v>
      </c>
      <c r="I47">
        <v>0.41999999999999993</v>
      </c>
      <c r="J47">
        <v>0</v>
      </c>
      <c r="K47">
        <v>6.1737824586305104E-3</v>
      </c>
    </row>
  </sheetData>
  <mergeCells count="7">
    <mergeCell ref="B16:C16"/>
    <mergeCell ref="A1:G1"/>
    <mergeCell ref="J3:L3"/>
    <mergeCell ref="J12:K12"/>
    <mergeCell ref="J13:K13"/>
    <mergeCell ref="J14:K14"/>
    <mergeCell ref="J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Sina Ghanbari</cp:lastModifiedBy>
  <dcterms:created xsi:type="dcterms:W3CDTF">2021-10-26T08:11:55Z</dcterms:created>
  <dcterms:modified xsi:type="dcterms:W3CDTF">2024-05-19T22:31:14Z</dcterms:modified>
</cp:coreProperties>
</file>